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'BS'!$A$1:$F$56</definedName>
    <definedName name="_xlnm.Print_Area" localSheetId="2">'CF'!$A$1:$N$86</definedName>
    <definedName name="_xlnm.Print_Area" localSheetId="3">'EQY'!$A$1:$S$39</definedName>
    <definedName name="_xlnm.Print_Area" localSheetId="4">'G&amp;L'!$A$1:$D$57</definedName>
    <definedName name="_xlnm.Print_Area" localSheetId="0">'P&amp;L'!$A$1:$H$56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<sst xmlns="http://schemas.openxmlformats.org/spreadsheetml/2006/main" count="214" uniqueCount="165">
  <si>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</si>
  <si>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</si>
  <si>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</si>
  <si>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</si>
  <si>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</si>
  <si>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</si>
  <si>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</si>
  <si>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</si>
  <si>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</si>
  <si>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</si>
  <si>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</si>
  <si>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</si>
  <si>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</si>
  <si>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</si>
  <si>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 CAPITAL</t>
  </si>
  <si>
    <t>RESERVES</t>
  </si>
  <si>
    <t>Share Premium</t>
  </si>
  <si>
    <t>Retained Profit</t>
  </si>
  <si>
    <t>Reserves</t>
  </si>
  <si>
    <t>LONG TERM BORROWINGS</t>
  </si>
  <si>
    <t>Bank Borrowings</t>
  </si>
  <si>
    <t>PROPERTY, PLANT AND EQUIPMENT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</si>
  <si>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</si>
  <si>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</si>
  <si>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</si>
  <si>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</si>
  <si>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</si>
  <si>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</si>
  <si>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</si>
  <si>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</si>
  <si>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</si>
  <si>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</si>
  <si>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</si>
  <si>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</si>
  <si>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</si>
  <si>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</si>
  <si>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</si>
  <si>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</si>
  <si>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</si>
  <si>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</si>
  <si>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</si>
  <si>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</si>
  <si>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</si>
  <si>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</si>
  <si>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</si>
  <si>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</si>
  <si>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</si>
  <si>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</si>
  <si>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</si>
  <si>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</si>
  <si>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</si>
  <si>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>NET CURRENT ASSETS</t>
  </si>
  <si>
    <t>Share</t>
  </si>
  <si>
    <t>Capital</t>
  </si>
  <si>
    <t>Retained</t>
  </si>
  <si>
    <t>Premium</t>
  </si>
  <si>
    <t>Reserve</t>
  </si>
  <si>
    <t>Profit</t>
  </si>
  <si>
    <t>Amount credited to income statement</t>
  </si>
  <si>
    <t>Net profit for the period</t>
  </si>
  <si>
    <t>Share issue expenses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</si>
  <si>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</si>
  <si>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</si>
  <si>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</si>
  <si>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</si>
  <si>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</si>
  <si>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</si>
  <si>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</si>
  <si>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Development properties and real property assets</t>
  </si>
  <si>
    <t>Amount owing to directors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</si>
  <si>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</si>
  <si>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</si>
  <si>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</si>
  <si>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</si>
  <si>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</si>
  <si>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</si>
  <si>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</si>
  <si>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Loss on disposal of property, plant and equipment</t>
  </si>
  <si>
    <t>Bad debts written off</t>
  </si>
  <si>
    <t>The condensed Consolidated Income Statements should be read in conjunction with the audited financial statements for</t>
  </si>
  <si>
    <t>Adjustment for :-</t>
  </si>
  <si>
    <t>Depreciation of property, plant and equipment</t>
  </si>
  <si>
    <t>Gain on disposal of property, plant and equipment</t>
  </si>
  <si>
    <t>Property, plant and equipment written off</t>
  </si>
  <si>
    <t>Interest expenses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</si>
  <si>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</si>
  <si>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</si>
  <si>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</si>
  <si>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</si>
  <si>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</si>
  <si>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</si>
  <si>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</si>
  <si>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</si>
  <si>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 xml:space="preserve">Proceeds from the issuance of shares 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</si>
  <si>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</si>
  <si>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</si>
  <si>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</si>
  <si>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</si>
  <si>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</si>
  <si>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</si>
  <si>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</si>
  <si>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</si>
  <si>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 xml:space="preserve">Profit before taxation </t>
  </si>
  <si>
    <t>Cash Generated From Operations</t>
  </si>
  <si>
    <t>Net Cash From Operating Activities</t>
  </si>
  <si>
    <t>Net Cash From Investing Activities</t>
  </si>
  <si>
    <t>Net Cash Used in Financing Activities</t>
  </si>
  <si>
    <t>PROPERTY DEVELOPMENT COSTS</t>
  </si>
  <si>
    <t>Operating Profit Before Working Capital Changes</t>
  </si>
  <si>
    <t>NET INCREASE IN CASH AND</t>
  </si>
  <si>
    <t>Balance as at 1st January 2005</t>
  </si>
  <si>
    <t>Joint venture</t>
  </si>
  <si>
    <t xml:space="preserve">   </t>
  </si>
  <si>
    <t>Drawndown of term loan</t>
  </si>
  <si>
    <t>Net repayment of hire purchase liabilities</t>
  </si>
  <si>
    <t>Net repayment of bank borrowing</t>
  </si>
  <si>
    <t>31/12/2005</t>
  </si>
  <si>
    <t>Reserve on consolidation recognised</t>
  </si>
  <si>
    <t>Cash held under Housing Development Accounts</t>
  </si>
  <si>
    <t>Less : Deposits pledged with licensed bank</t>
  </si>
  <si>
    <t xml:space="preserve">Net profit/(loss) for the period </t>
  </si>
  <si>
    <t>Impairment of goodwill</t>
  </si>
  <si>
    <t>the year ended 31 December 2005 and the accompanying explanatory notes attached to the interim financial statements.</t>
  </si>
  <si>
    <t>Balance as at 1st January 2006</t>
  </si>
  <si>
    <t>INVESTMENT IN ASSOCIATED COMPANIES</t>
  </si>
  <si>
    <t>OTHER INVESTMENTS</t>
  </si>
  <si>
    <t>Attributable to:</t>
  </si>
  <si>
    <t>Equity holders of the parent</t>
  </si>
  <si>
    <t xml:space="preserve">to ordinary equity holders of the </t>
  </si>
  <si>
    <t>parent(sen)</t>
  </si>
  <si>
    <t>Shareholders</t>
  </si>
  <si>
    <t>Equity</t>
  </si>
  <si>
    <t>Minority</t>
  </si>
  <si>
    <t>Interest</t>
  </si>
  <si>
    <t>Shareholders' Equity</t>
  </si>
  <si>
    <t>Minority Interest</t>
  </si>
  <si>
    <t>TOTAL EQUITY</t>
  </si>
  <si>
    <t>Disposal of associates company</t>
  </si>
  <si>
    <t>Gross Profit</t>
  </si>
  <si>
    <t>Earnings per share attributable</t>
  </si>
  <si>
    <t xml:space="preserve">         Diluted (sen) </t>
  </si>
  <si>
    <t xml:space="preserve">The condensed Consolidated Statements of Changes in Equity should be read in conjunction with the audited financial statements for the year ended 31 December 2005 and the accompanying </t>
  </si>
  <si>
    <t>explanatory notes attached to the interim financial statements.</t>
  </si>
  <si>
    <t>(Increase)/decrease in fixed deposits pledged</t>
  </si>
  <si>
    <t>N/A</t>
  </si>
  <si>
    <t>Gain on disposal of a associate</t>
  </si>
  <si>
    <t xml:space="preserve">Net assets per share attributable to equity holders </t>
  </si>
  <si>
    <t>of the parent (RM)</t>
  </si>
  <si>
    <t>Attributable to equity holders of the parent</t>
  </si>
  <si>
    <t>Non-Distributable</t>
  </si>
  <si>
    <t>Distributable</t>
  </si>
  <si>
    <t xml:space="preserve">Rights Issue of Warrant </t>
  </si>
  <si>
    <t>of Warrants</t>
  </si>
  <si>
    <t>Right Issue</t>
  </si>
  <si>
    <t>Right Issue of Warrants recognised</t>
  </si>
  <si>
    <t>Proceeds from Right Issue of Warrants</t>
  </si>
  <si>
    <t>FOR THE PERIOD ENDED 31 DECEMBER 2006</t>
  </si>
  <si>
    <t>AS AT 31 DECEMBER 2006</t>
  </si>
  <si>
    <t>FOR THE QUARTER ENDED 31 DECEMBER 2006</t>
  </si>
  <si>
    <t>31/12/2006</t>
  </si>
  <si>
    <t>Balance as at end of period 31 December 2005</t>
  </si>
  <si>
    <t>Balance as at end of period 31 December 2006</t>
  </si>
  <si>
    <t xml:space="preserve">Profit/(Loss) Before Taxation </t>
  </si>
  <si>
    <t>Net Profit/(Loss) for the Period</t>
  </si>
  <si>
    <t xml:space="preserve">Gain on investment in associates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</si>
</sst>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_(* #,##0.0_);_(* \(#,##0.0\);_(* &quot;-&quot;?_);_(@_)"/>
    <numFmt numFmtId="185" formatCode="_-* #,##0.0_-;\-* #,##0.0_-;_-* &quot;-&quot;?_-;_-@_-"/>
    <numFmt numFmtId="186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1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>
      <alignment/>
      <protection/>
    </xf>
    <xf numFmtId="173" fontId="0" fillId="0" borderId="3" xfId="21" applyNumberFormat="1" applyFont="1" applyBorder="1">
      <alignment/>
      <protection/>
    </xf>
    <xf numFmtId="173" fontId="0" fillId="0" borderId="0" xfId="21" applyNumberFormat="1" applyFont="1" applyBorder="1">
      <alignment/>
      <protection/>
    </xf>
    <xf numFmtId="173" fontId="1" fillId="0" borderId="4" xfId="21" applyNumberFormat="1" applyFont="1" applyBorder="1">
      <alignment/>
      <protection/>
    </xf>
    <xf numFmtId="173" fontId="1" fillId="0" borderId="0" xfId="21" applyNumberFormat="1" applyFont="1">
      <alignment/>
      <protection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73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21" applyNumberFormat="1" applyFont="1" applyBorder="1">
      <alignment/>
      <protection/>
    </xf>
    <xf numFmtId="171" fontId="0" fillId="0" borderId="0" xfId="15" applyNumberFormat="1" applyFont="1" applyFill="1" applyBorder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0" fillId="2" borderId="0" xfId="0" applyFont="1" applyFill="1" applyAlignment="1">
      <alignment/>
    </xf>
    <xf numFmtId="171" fontId="0" fillId="2" borderId="3" xfId="0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9" fillId="0" borderId="0" xfId="15" applyNumberFormat="1" applyFont="1" applyBorder="1" applyAlignment="1">
      <alignment/>
    </xf>
    <xf numFmtId="173" fontId="0" fillId="0" borderId="3" xfId="21" applyNumberFormat="1" applyFont="1" applyFill="1" applyBorder="1">
      <alignment/>
      <protection/>
    </xf>
    <xf numFmtId="173" fontId="1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center"/>
    </xf>
    <xf numFmtId="171" fontId="0" fillId="0" borderId="0" xfId="15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WINDOWS\TEMP\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Documents%20and%20Settings\admin\My%20Documents\MPB\Master%20Consol%202005\cash%20flow-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December%202006%203rd%20Draft%2013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h_flow_311206%20(PATAMI%20180K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December%202006%203rd%20Draft%202602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_flow_311206%20(PATAMI%20119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26">
          <cell r="T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notes"/>
      <sheetName val="P&amp;L Q4"/>
      <sheetName val="Consol adj"/>
      <sheetName val="current-p&amp;l"/>
      <sheetName val="current-bs"/>
      <sheetName val="P &amp; L segmental qtr 4"/>
      <sheetName val="P&amp;L311206segmental"/>
      <sheetName val="P&amp;L 31122006"/>
      <sheetName val="bs line-up"/>
      <sheetName val="Consol Jurnal"/>
      <sheetName val="AJE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mprima-p&amp;l"/>
      <sheetName val="mprima-bs"/>
      <sheetName val="mpk(s)-p&amp;l"/>
      <sheetName val="mpk(s)-bs"/>
      <sheetName val="ph-bs "/>
      <sheetName val="ph-p&amp;l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0">
        <row r="15">
          <cell r="V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notes"/>
      <sheetName val="P&amp;L Q4"/>
      <sheetName val="Consol adj"/>
      <sheetName val="current-p&amp;l"/>
      <sheetName val="current-bs"/>
      <sheetName val="P &amp; L segmental qtr 4"/>
      <sheetName val="P&amp;L311206segmental"/>
      <sheetName val="P&amp;L 31122006"/>
      <sheetName val="bs line-up"/>
      <sheetName val="Consol Jurnal"/>
      <sheetName val="AJE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mprima-p&amp;l"/>
      <sheetName val="mprima-bs"/>
      <sheetName val="mpk(s)-p&amp;l"/>
      <sheetName val="mpk(s)-bs"/>
      <sheetName val="ph-bs "/>
      <sheetName val="ph-p&amp;l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44">
          <cell r="R44">
            <v>-1025282.6937500001</v>
          </cell>
        </row>
      </sheetData>
      <sheetData sheetId="21">
        <row r="13">
          <cell r="R13">
            <v>77292591.5</v>
          </cell>
        </row>
        <row r="18">
          <cell r="R18">
            <v>-64576669</v>
          </cell>
        </row>
        <row r="25">
          <cell r="R25">
            <v>4065409</v>
          </cell>
        </row>
        <row r="26">
          <cell r="R26">
            <v>-1150567.53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-11127460.469999999</v>
          </cell>
        </row>
        <row r="30">
          <cell r="R30">
            <v>-340603</v>
          </cell>
        </row>
        <row r="31">
          <cell r="R31">
            <v>-20561</v>
          </cell>
        </row>
        <row r="37">
          <cell r="R37">
            <v>-949092.45</v>
          </cell>
        </row>
        <row r="41">
          <cell r="R41">
            <v>-3099366</v>
          </cell>
        </row>
        <row r="44">
          <cell r="R44">
            <v>25201</v>
          </cell>
        </row>
      </sheetData>
      <sheetData sheetId="22">
        <row r="9">
          <cell r="R9">
            <v>51477446.49000001</v>
          </cell>
        </row>
        <row r="10">
          <cell r="R10">
            <v>9388308.43</v>
          </cell>
        </row>
        <row r="11">
          <cell r="R11">
            <v>7019651.9</v>
          </cell>
        </row>
        <row r="12">
          <cell r="R12">
            <v>29994</v>
          </cell>
        </row>
        <row r="13">
          <cell r="R13">
            <v>-8740783.516</v>
          </cell>
        </row>
        <row r="16">
          <cell r="R16">
            <v>1903485</v>
          </cell>
        </row>
        <row r="19">
          <cell r="R19">
            <v>73500.48999999999</v>
          </cell>
        </row>
        <row r="20">
          <cell r="R20">
            <v>1315143.49</v>
          </cell>
        </row>
        <row r="21">
          <cell r="R21">
            <v>3318775</v>
          </cell>
        </row>
        <row r="29">
          <cell r="R29">
            <v>5662100.130000001</v>
          </cell>
        </row>
        <row r="34">
          <cell r="R34">
            <v>27014933</v>
          </cell>
        </row>
        <row r="35">
          <cell r="R35">
            <v>690000</v>
          </cell>
        </row>
        <row r="37">
          <cell r="R37">
            <v>46206.600000000006</v>
          </cell>
        </row>
        <row r="39">
          <cell r="R39">
            <v>59120407.5</v>
          </cell>
        </row>
        <row r="40">
          <cell r="R40">
            <v>28625574</v>
          </cell>
        </row>
        <row r="41">
          <cell r="R41">
            <v>2006800.97</v>
          </cell>
        </row>
        <row r="42">
          <cell r="R42">
            <v>31501893</v>
          </cell>
        </row>
        <row r="43">
          <cell r="R43">
            <v>6724116</v>
          </cell>
        </row>
        <row r="48">
          <cell r="R48">
            <v>2746620</v>
          </cell>
        </row>
        <row r="49">
          <cell r="R49">
            <v>4603567.22</v>
          </cell>
        </row>
        <row r="52">
          <cell r="R52">
            <v>0</v>
          </cell>
        </row>
        <row r="57">
          <cell r="R57">
            <v>40985634.2</v>
          </cell>
        </row>
        <row r="58">
          <cell r="R58">
            <v>14752626.4</v>
          </cell>
        </row>
        <row r="59">
          <cell r="R59">
            <v>0</v>
          </cell>
        </row>
        <row r="60">
          <cell r="R60">
            <v>153500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273205.27</v>
          </cell>
        </row>
        <row r="65">
          <cell r="R65">
            <v>5593153.84</v>
          </cell>
        </row>
        <row r="66">
          <cell r="R66">
            <v>31099571.929999996</v>
          </cell>
        </row>
        <row r="67">
          <cell r="R67">
            <v>10099004.16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0">
        <row r="7">
          <cell r="V7">
            <v>3193047.55</v>
          </cell>
        </row>
      </sheetData>
      <sheetData sheetId="1">
        <row r="12">
          <cell r="I12">
            <v>1150.57153</v>
          </cell>
        </row>
        <row r="13">
          <cell r="I13">
            <v>-69.07149000000001</v>
          </cell>
        </row>
        <row r="16">
          <cell r="I16">
            <v>-3006.491</v>
          </cell>
        </row>
        <row r="17">
          <cell r="I17">
            <v>-395.0004</v>
          </cell>
        </row>
        <row r="18">
          <cell r="I18">
            <v>-171.7274</v>
          </cell>
        </row>
        <row r="19">
          <cell r="I19">
            <v>949.0911499999999</v>
          </cell>
        </row>
        <row r="28">
          <cell r="I28">
            <v>1186.5710599999998</v>
          </cell>
        </row>
        <row r="29">
          <cell r="I29">
            <v>-17480.571</v>
          </cell>
        </row>
        <row r="30">
          <cell r="I30">
            <v>-23732.699879999996</v>
          </cell>
        </row>
        <row r="31">
          <cell r="I31">
            <v>9750.63471</v>
          </cell>
        </row>
        <row r="32">
          <cell r="I32">
            <v>16089.68261</v>
          </cell>
        </row>
        <row r="38">
          <cell r="I38">
            <v>-192.272</v>
          </cell>
        </row>
        <row r="39">
          <cell r="I39">
            <v>171.7274</v>
          </cell>
        </row>
        <row r="40">
          <cell r="I40">
            <v>-949.0911499999999</v>
          </cell>
        </row>
        <row r="46">
          <cell r="I46">
            <v>-628.71851</v>
          </cell>
        </row>
        <row r="47">
          <cell r="I47">
            <v>179.55</v>
          </cell>
        </row>
        <row r="48">
          <cell r="I48">
            <v>5610</v>
          </cell>
        </row>
        <row r="50">
          <cell r="I50">
            <v>208.77242999999999</v>
          </cell>
        </row>
        <row r="55">
          <cell r="I55">
            <v>-517.53298</v>
          </cell>
        </row>
        <row r="56">
          <cell r="I56">
            <v>-6500</v>
          </cell>
        </row>
        <row r="58">
          <cell r="I58">
            <v>10985.44206</v>
          </cell>
        </row>
        <row r="59">
          <cell r="I59">
            <v>733.51</v>
          </cell>
        </row>
        <row r="60">
          <cell r="I60">
            <v>4679.767</v>
          </cell>
        </row>
        <row r="61">
          <cell r="I61">
            <v>7019.6517</v>
          </cell>
        </row>
        <row r="69">
          <cell r="I69">
            <v>-9107.186489999998</v>
          </cell>
        </row>
        <row r="76">
          <cell r="I76">
            <v>3320.81124</v>
          </cell>
        </row>
        <row r="77">
          <cell r="I77">
            <v>1430</v>
          </cell>
        </row>
        <row r="78">
          <cell r="I78">
            <v>4842.44807</v>
          </cell>
        </row>
        <row r="79">
          <cell r="I79">
            <v>-5593.15434</v>
          </cell>
        </row>
        <row r="81">
          <cell r="I81">
            <v>-4842.44807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75" zoomScaleSheetLayoutView="75" workbookViewId="0" topLeftCell="A25">
      <selection activeCell="F48" sqref="F48"/>
    </sheetView>
  </sheetViews>
  <sheetFormatPr defaultColWidth="9.140625" defaultRowHeight="12.75"/>
  <cols>
    <col min="1" max="1" width="28.851562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8.0039062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71</v>
      </c>
      <c r="C3" s="16"/>
      <c r="E3" s="16"/>
      <c r="G3" s="16"/>
    </row>
    <row r="4" spans="1:7" s="2" customFormat="1" ht="15.75">
      <c r="A4" s="2" t="s">
        <v>156</v>
      </c>
      <c r="C4" s="16"/>
      <c r="E4" s="16"/>
      <c r="G4" s="16"/>
    </row>
    <row r="7" spans="2:8" s="7" customFormat="1" ht="12.75">
      <c r="B7" s="8">
        <v>2006</v>
      </c>
      <c r="C7" s="8"/>
      <c r="D7" s="8">
        <v>2005</v>
      </c>
      <c r="E7" s="8"/>
      <c r="F7" s="8">
        <v>2006</v>
      </c>
      <c r="G7" s="8"/>
      <c r="H7" s="8">
        <v>2005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38" t="s">
        <v>159</v>
      </c>
      <c r="C12" s="18"/>
      <c r="D12" s="38" t="s">
        <v>116</v>
      </c>
      <c r="E12" s="18"/>
      <c r="F12" s="38" t="str">
        <f>+B12</f>
        <v>31/12/2006</v>
      </c>
      <c r="G12" s="18"/>
      <c r="H12" s="38" t="str">
        <f>+D12</f>
        <v>31/12/2005</v>
      </c>
    </row>
    <row r="13" spans="2:8" s="9" customFormat="1" ht="12">
      <c r="B13" s="17" t="s">
        <v>46</v>
      </c>
      <c r="C13" s="17"/>
      <c r="D13" s="17" t="s">
        <v>46</v>
      </c>
      <c r="E13" s="17"/>
      <c r="F13" s="17" t="s">
        <v>46</v>
      </c>
      <c r="G13" s="17"/>
      <c r="H13" s="17" t="s">
        <v>46</v>
      </c>
    </row>
    <row r="14" s="9" customFormat="1" ht="12"/>
    <row r="15" spans="1:8" s="12" customFormat="1" ht="12.75">
      <c r="A15" s="10" t="s">
        <v>7</v>
      </c>
      <c r="B15" s="11">
        <f>+F15-26463</f>
        <v>50829.591499999995</v>
      </c>
      <c r="C15" s="11"/>
      <c r="D15" s="11">
        <v>52936</v>
      </c>
      <c r="E15" s="11"/>
      <c r="F15" s="11">
        <f>+'[5]P&amp;L 31122006'!$R$13/1000</f>
        <v>77292.5915</v>
      </c>
      <c r="G15" s="11"/>
      <c r="H15" s="11">
        <v>108020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29</v>
      </c>
      <c r="B17" s="24">
        <f>+F17+24140</f>
        <v>-40436.669</v>
      </c>
      <c r="C17" s="11"/>
      <c r="D17" s="39">
        <v>-62886</v>
      </c>
      <c r="E17" s="11"/>
      <c r="F17" s="24">
        <f>+'[5]P&amp;L 31122006'!$R$18/1000</f>
        <v>-64576.669</v>
      </c>
      <c r="G17" s="11"/>
      <c r="H17" s="24">
        <v>-103494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138</v>
      </c>
      <c r="B19" s="11">
        <f>SUM(B14:B18)</f>
        <v>10392.922499999993</v>
      </c>
      <c r="C19" s="11"/>
      <c r="D19" s="11">
        <f>SUM(D14:D18)</f>
        <v>-9950</v>
      </c>
      <c r="E19" s="11">
        <f>SUM(E14:E18)</f>
        <v>0</v>
      </c>
      <c r="F19" s="11">
        <f>SUM(F14:F18)</f>
        <v>12715.922499999993</v>
      </c>
      <c r="G19" s="11"/>
      <c r="H19" s="11">
        <f>SUM(H14:H18)</f>
        <v>4526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30</v>
      </c>
      <c r="B21" s="24">
        <f>+F21-3388</f>
        <v>677.4090000000001</v>
      </c>
      <c r="C21" s="11"/>
      <c r="D21" s="24">
        <v>-164</v>
      </c>
      <c r="E21" s="11"/>
      <c r="F21" s="24">
        <f>+'[5]P&amp;L 31122006'!$R$25/1000</f>
        <v>4065.409</v>
      </c>
      <c r="G21" s="11"/>
      <c r="H21" s="24">
        <v>691</v>
      </c>
    </row>
    <row r="22" spans="1:8" s="12" customFormat="1" ht="12.75">
      <c r="A22" s="10"/>
      <c r="B22" s="11">
        <f>SUM(B19:B21)</f>
        <v>11070.331499999993</v>
      </c>
      <c r="C22" s="11"/>
      <c r="D22" s="11">
        <f>SUM(D19:D21)</f>
        <v>-10114</v>
      </c>
      <c r="E22" s="11"/>
      <c r="F22" s="11">
        <f>SUM(F19:F21)</f>
        <v>16781.331499999993</v>
      </c>
      <c r="G22" s="11"/>
      <c r="H22" s="11">
        <f>SUM(H19:H21)</f>
        <v>5217</v>
      </c>
    </row>
    <row r="23" spans="1:8" s="12" customFormat="1" ht="12.75">
      <c r="A23" s="10"/>
      <c r="B23" s="11"/>
      <c r="C23" s="11"/>
      <c r="D23" s="11"/>
      <c r="E23" s="11"/>
      <c r="F23" s="11"/>
      <c r="G23" s="11"/>
      <c r="H23" s="11"/>
    </row>
    <row r="24" spans="1:8" s="12" customFormat="1" ht="12.75">
      <c r="A24" s="10" t="s">
        <v>47</v>
      </c>
      <c r="B24" s="24">
        <f>+F24+9909</f>
        <v>-2730.1919999999973</v>
      </c>
      <c r="C24" s="11"/>
      <c r="D24" s="39">
        <v>-5879</v>
      </c>
      <c r="E24" s="11"/>
      <c r="F24" s="24">
        <f>+SUM('[5]P&amp;L 31122006'!$R$26:$R$31)/1000</f>
        <v>-12639.191999999997</v>
      </c>
      <c r="G24" s="11"/>
      <c r="H24" s="24">
        <v>-16438</v>
      </c>
    </row>
    <row r="25" spans="1:14" s="12" customFormat="1" ht="12.75" customHeight="1">
      <c r="A25" s="10"/>
      <c r="B25" s="13">
        <f>SUM(B22:B24)</f>
        <v>8340.139499999996</v>
      </c>
      <c r="C25" s="13"/>
      <c r="D25" s="13">
        <f>SUM(D22:D24)</f>
        <v>-15993</v>
      </c>
      <c r="E25" s="13">
        <f>SUM(E19:E24)</f>
        <v>0</v>
      </c>
      <c r="F25" s="13">
        <f>SUM(F22:F24)</f>
        <v>4142.139499999996</v>
      </c>
      <c r="G25" s="13"/>
      <c r="H25" s="13">
        <f>SUM(H22:H24)</f>
        <v>-11221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 t="s">
        <v>31</v>
      </c>
      <c r="B27" s="24">
        <f>+F27+1000</f>
        <v>50.907550000000015</v>
      </c>
      <c r="C27" s="11"/>
      <c r="D27" s="24">
        <v>-389</v>
      </c>
      <c r="E27" s="11"/>
      <c r="F27" s="24">
        <f>+'[5]P&amp;L 31122006'!$R$37/1000</f>
        <v>-949.09245</v>
      </c>
      <c r="G27" s="11"/>
      <c r="H27" s="24">
        <v>-1581</v>
      </c>
    </row>
    <row r="28" spans="1:8" s="12" customFormat="1" ht="12.75">
      <c r="A28" s="10"/>
      <c r="B28" s="11"/>
      <c r="C28" s="11"/>
      <c r="D28" s="11"/>
      <c r="E28" s="11"/>
      <c r="F28" s="11"/>
      <c r="G28" s="11"/>
      <c r="H28" s="11"/>
    </row>
    <row r="29" spans="1:8" s="12" customFormat="1" ht="25.5" hidden="1">
      <c r="A29" s="10" t="s">
        <v>34</v>
      </c>
      <c r="B29" s="24">
        <f>F29</f>
        <v>0</v>
      </c>
      <c r="C29" s="11"/>
      <c r="D29" s="24">
        <v>0</v>
      </c>
      <c r="E29" s="11"/>
      <c r="F29" s="24">
        <f>'[1]P&amp;L 31032005 (2)'!$U$34/100</f>
        <v>0</v>
      </c>
      <c r="G29" s="11"/>
      <c r="H29" s="24">
        <v>0</v>
      </c>
    </row>
    <row r="30" spans="1:8" s="12" customFormat="1" ht="12.75" hidden="1">
      <c r="A30" s="10"/>
      <c r="B30" s="11"/>
      <c r="C30" s="11"/>
      <c r="D30" s="11"/>
      <c r="E30" s="11"/>
      <c r="F30" s="11"/>
      <c r="G30" s="11"/>
      <c r="H30" s="11"/>
    </row>
    <row r="31" spans="1:8" s="12" customFormat="1" ht="12.75">
      <c r="A31" s="10" t="s">
        <v>162</v>
      </c>
      <c r="B31" s="11">
        <f>SUM(B25:B29)</f>
        <v>8391.047049999996</v>
      </c>
      <c r="C31" s="11"/>
      <c r="D31" s="11">
        <f>SUM(D25:D29)</f>
        <v>-16382</v>
      </c>
      <c r="E31" s="11"/>
      <c r="F31" s="11">
        <f>SUM(F25:F29)</f>
        <v>3193.0470499999956</v>
      </c>
      <c r="G31" s="11"/>
      <c r="H31" s="11">
        <f>SUM(H25:H29)</f>
        <v>-12802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12.75">
      <c r="A33" s="10" t="s">
        <v>32</v>
      </c>
      <c r="B33" s="24">
        <f>+F33+534</f>
        <v>-2565.366</v>
      </c>
      <c r="C33" s="11"/>
      <c r="D33" s="24">
        <v>965</v>
      </c>
      <c r="E33" s="11"/>
      <c r="F33" s="24">
        <f>+'[5]P&amp;L 31122006'!$R$41/1000</f>
        <v>-3099.366</v>
      </c>
      <c r="G33" s="11"/>
      <c r="H33" s="24">
        <v>-461</v>
      </c>
    </row>
    <row r="34" spans="1:8" s="12" customFormat="1" ht="12.75">
      <c r="A34" s="10"/>
      <c r="B34" s="11"/>
      <c r="C34" s="11"/>
      <c r="D34" s="11"/>
      <c r="E34" s="11"/>
      <c r="F34" s="11"/>
      <c r="G34" s="11"/>
      <c r="H34" s="11"/>
    </row>
    <row r="35" spans="1:8" s="12" customFormat="1" ht="13.5" thickBot="1">
      <c r="A35" s="10" t="s">
        <v>163</v>
      </c>
      <c r="B35" s="60">
        <f>SUM(B31:B34)</f>
        <v>5825.681049999996</v>
      </c>
      <c r="C35" s="11"/>
      <c r="D35" s="60">
        <f>SUM(D31:D34)</f>
        <v>-15417</v>
      </c>
      <c r="E35" s="11"/>
      <c r="F35" s="60">
        <f>SUM(F31:F33)</f>
        <v>93.6810499999956</v>
      </c>
      <c r="G35" s="11"/>
      <c r="H35" s="60">
        <f>SUM(H31:H34)</f>
        <v>-13263</v>
      </c>
    </row>
    <row r="36" spans="1:8" s="12" customFormat="1" ht="12.75">
      <c r="A36" s="10"/>
      <c r="B36" s="62"/>
      <c r="C36" s="11"/>
      <c r="D36" s="62"/>
      <c r="E36" s="11"/>
      <c r="F36" s="62"/>
      <c r="G36" s="11"/>
      <c r="H36" s="62"/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126</v>
      </c>
      <c r="B38" s="11"/>
      <c r="C38" s="11"/>
      <c r="D38" s="11"/>
      <c r="E38" s="11"/>
      <c r="F38" s="11"/>
      <c r="G38" s="11"/>
      <c r="H38" s="11"/>
    </row>
    <row r="39" spans="1:8" s="12" customFormat="1" ht="12.75">
      <c r="A39" s="10" t="s">
        <v>127</v>
      </c>
      <c r="B39" s="11">
        <f>+B41+B40+1</f>
        <v>4801.398356249995</v>
      </c>
      <c r="C39" s="11"/>
      <c r="D39" s="11">
        <f>+D41+D40</f>
        <v>-13900</v>
      </c>
      <c r="E39" s="11"/>
      <c r="F39" s="11">
        <f>+F41+F40</f>
        <v>118.88204999999559</v>
      </c>
      <c r="G39" s="11"/>
      <c r="H39" s="11">
        <f>+H41+H40</f>
        <v>-12664</v>
      </c>
    </row>
    <row r="40" spans="1:8" s="12" customFormat="1" ht="12.75">
      <c r="A40" s="10" t="s">
        <v>33</v>
      </c>
      <c r="B40" s="24">
        <f>'[5]P&amp;L Q4'!$R$44/1000</f>
        <v>-1025.2826937500001</v>
      </c>
      <c r="C40" s="11"/>
      <c r="D40" s="24">
        <v>1517</v>
      </c>
      <c r="E40" s="11"/>
      <c r="F40" s="24">
        <f>+'[5]P&amp;L 31122006'!$R$44/1000</f>
        <v>25.201</v>
      </c>
      <c r="G40" s="11"/>
      <c r="H40" s="24">
        <v>599</v>
      </c>
    </row>
    <row r="41" spans="1:8" s="12" customFormat="1" ht="13.5" thickBot="1">
      <c r="A41" s="10" t="s">
        <v>163</v>
      </c>
      <c r="B41" s="61">
        <f>+B35</f>
        <v>5825.681049999996</v>
      </c>
      <c r="C41" s="11"/>
      <c r="D41" s="50">
        <f>+D35</f>
        <v>-15417</v>
      </c>
      <c r="E41" s="11"/>
      <c r="F41" s="50">
        <f>+F35</f>
        <v>93.6810499999956</v>
      </c>
      <c r="G41" s="11"/>
      <c r="H41" s="50">
        <f>+H35</f>
        <v>-13263</v>
      </c>
    </row>
    <row r="42" spans="1:8" s="12" customFormat="1" ht="12.75">
      <c r="A42" s="10"/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/>
      <c r="B43" s="11"/>
      <c r="C43" s="11"/>
      <c r="D43" s="11"/>
      <c r="E43" s="11"/>
      <c r="F43" s="11"/>
      <c r="G43" s="11"/>
      <c r="H43" s="11"/>
    </row>
    <row r="44" spans="1:8" s="12" customFormat="1" ht="12.75" customHeight="1">
      <c r="A44" s="10" t="s">
        <v>139</v>
      </c>
      <c r="B44" s="11"/>
      <c r="C44" s="11"/>
      <c r="D44" s="11"/>
      <c r="E44" s="11"/>
      <c r="F44" s="11"/>
      <c r="G44" s="11"/>
      <c r="H44" s="11"/>
    </row>
    <row r="45" spans="1:8" s="12" customFormat="1" ht="12.75" customHeight="1">
      <c r="A45" s="10" t="s">
        <v>128</v>
      </c>
      <c r="B45" s="11"/>
      <c r="C45" s="11"/>
      <c r="D45" s="11"/>
      <c r="E45" s="11"/>
      <c r="F45" s="11"/>
      <c r="G45" s="11"/>
      <c r="H45" s="11"/>
    </row>
    <row r="46" spans="1:8" s="12" customFormat="1" ht="12.75" customHeight="1">
      <c r="A46" s="10" t="s">
        <v>129</v>
      </c>
      <c r="B46" s="11"/>
      <c r="C46" s="11"/>
      <c r="D46" s="11"/>
      <c r="E46" s="11"/>
      <c r="F46" s="11"/>
      <c r="G46" s="11"/>
      <c r="H46" s="11"/>
    </row>
    <row r="47" spans="1:8" s="12" customFormat="1" ht="12.75">
      <c r="A47" s="10" t="s">
        <v>50</v>
      </c>
      <c r="B47" s="46">
        <f>+(B39/47105)*100</f>
        <v>10.192969655556725</v>
      </c>
      <c r="C47" s="46"/>
      <c r="D47" s="46">
        <f>+(D39/46242)*100</f>
        <v>-30.059253492496</v>
      </c>
      <c r="E47" s="46"/>
      <c r="F47" s="46">
        <f>+(F39/47105)*100</f>
        <v>0.2523767116017314</v>
      </c>
      <c r="G47" s="26"/>
      <c r="H47" s="26">
        <f>+(H39/46242)*100</f>
        <v>-27.386358721508586</v>
      </c>
    </row>
    <row r="48" spans="1:8" s="12" customFormat="1" ht="12.75">
      <c r="A48" s="10" t="s">
        <v>140</v>
      </c>
      <c r="B48" s="44" t="s">
        <v>144</v>
      </c>
      <c r="C48" s="44"/>
      <c r="D48" s="44">
        <f>(D39/47548)*100</f>
        <v>-29.233616555901403</v>
      </c>
      <c r="E48" s="44"/>
      <c r="F48" s="44" t="s">
        <v>144</v>
      </c>
      <c r="G48" s="27"/>
      <c r="H48" s="44">
        <f>(H39/47548)*100</f>
        <v>-26.63413813409607</v>
      </c>
    </row>
    <row r="49" s="12" customFormat="1" ht="12.75"/>
    <row r="50" s="12" customFormat="1" ht="12.75"/>
    <row r="51" s="12" customFormat="1" ht="12.75">
      <c r="A51" s="12" t="s">
        <v>79</v>
      </c>
    </row>
    <row r="52" s="12" customFormat="1" ht="12.75">
      <c r="A52" s="12" t="s">
        <v>122</v>
      </c>
    </row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</sheetData>
  <printOptions horizontalCentered="1"/>
  <pageMargins left="0.3937007874015748" right="0.2362204724409449" top="0.984251968503937" bottom="0.5905511811023623" header="0.5118110236220472" footer="0.5118110236220472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75" zoomScaleSheetLayoutView="75" workbookViewId="0" topLeftCell="A28">
      <selection activeCell="F5" sqref="F5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74</v>
      </c>
      <c r="C3" s="16"/>
      <c r="D3" s="16"/>
      <c r="E3" s="16"/>
    </row>
    <row r="4" spans="1:5" s="2" customFormat="1" ht="15.75">
      <c r="A4" s="2" t="s">
        <v>157</v>
      </c>
      <c r="C4" s="16"/>
      <c r="D4" s="16"/>
      <c r="E4" s="16"/>
    </row>
    <row r="6" spans="3:5" s="1" customFormat="1" ht="12.75">
      <c r="C6" s="17" t="s">
        <v>35</v>
      </c>
      <c r="D6" s="17"/>
      <c r="E6" s="17" t="s">
        <v>36</v>
      </c>
    </row>
    <row r="7" spans="3:5" s="1" customFormat="1" ht="12.75">
      <c r="C7" s="38" t="s">
        <v>159</v>
      </c>
      <c r="D7" s="18"/>
      <c r="E7" s="38" t="s">
        <v>116</v>
      </c>
    </row>
    <row r="8" spans="3:5" s="1" customFormat="1" ht="12.75">
      <c r="C8" s="17" t="s">
        <v>46</v>
      </c>
      <c r="D8" s="17"/>
      <c r="E8" s="17" t="s">
        <v>46</v>
      </c>
    </row>
    <row r="10" spans="1:5" ht="12.75">
      <c r="A10" s="1" t="s">
        <v>21</v>
      </c>
      <c r="C10" s="11">
        <f>+'[5]bs line-up'!$R$29/1000</f>
        <v>5662.100130000001</v>
      </c>
      <c r="D10" s="11"/>
      <c r="E10" s="11">
        <f>5405202/1000</f>
        <v>5405.202</v>
      </c>
    </row>
    <row r="11" spans="1:5" ht="12.75">
      <c r="A11" s="1" t="s">
        <v>124</v>
      </c>
      <c r="C11" s="11">
        <v>0</v>
      </c>
      <c r="D11" s="11"/>
      <c r="E11" s="11">
        <f>2603509/1000</f>
        <v>2603.509</v>
      </c>
    </row>
    <row r="12" spans="1:5" ht="12.75">
      <c r="A12" s="1" t="s">
        <v>125</v>
      </c>
      <c r="C12" s="11">
        <f>+'[5]bs line-up'!$R$35/1000</f>
        <v>690</v>
      </c>
      <c r="D12" s="11"/>
      <c r="E12" s="11">
        <f>295000/1000</f>
        <v>295</v>
      </c>
    </row>
    <row r="13" spans="1:5" ht="12.75">
      <c r="A13" s="1" t="s">
        <v>107</v>
      </c>
      <c r="C13" s="11">
        <f>+'[5]bs line-up'!$R$34/1000+1</f>
        <v>27015.933</v>
      </c>
      <c r="D13" s="11"/>
      <c r="E13" s="11">
        <f>34800044/1000</f>
        <v>34800.044</v>
      </c>
    </row>
    <row r="14" spans="1:5" ht="12.75">
      <c r="A14" s="1" t="s">
        <v>76</v>
      </c>
      <c r="C14" s="11">
        <f>+'[5]bs line-up'!$R$37/1000</f>
        <v>46.20660000000001</v>
      </c>
      <c r="D14" s="11"/>
      <c r="E14" s="11">
        <f>46207/1000</f>
        <v>46.207</v>
      </c>
    </row>
    <row r="15" spans="1:5" ht="12.75">
      <c r="A15" s="1"/>
      <c r="C15" s="11"/>
      <c r="D15" s="11"/>
      <c r="E15" s="11"/>
    </row>
    <row r="16" spans="3:5" ht="12.75">
      <c r="C16" s="11"/>
      <c r="D16" s="11"/>
      <c r="E16" s="11"/>
    </row>
    <row r="17" spans="1:5" ht="12.75">
      <c r="A17" s="1" t="s">
        <v>10</v>
      </c>
      <c r="C17" s="11"/>
      <c r="D17" s="11"/>
      <c r="E17" s="11"/>
    </row>
    <row r="18" spans="2:5" ht="12.75">
      <c r="B18" s="3" t="s">
        <v>22</v>
      </c>
      <c r="C18" s="11">
        <f>+'[5]bs line-up'!$R$40/1000</f>
        <v>28625.574</v>
      </c>
      <c r="D18" s="11"/>
      <c r="E18" s="11">
        <f>11145003/1000</f>
        <v>11145.003</v>
      </c>
    </row>
    <row r="19" spans="2:5" ht="12.75">
      <c r="B19" s="3" t="s">
        <v>26</v>
      </c>
      <c r="C19" s="45">
        <f>+'[5]bs line-up'!$R$39/1000-'[5]bs line-up'!$R$52/1000-1</f>
        <v>59119.4075</v>
      </c>
      <c r="D19" s="11"/>
      <c r="E19" s="11">
        <f>56161475/1000</f>
        <v>56161.475</v>
      </c>
    </row>
    <row r="20" spans="2:5" ht="12.75">
      <c r="B20" s="3" t="s">
        <v>25</v>
      </c>
      <c r="C20" s="11">
        <f>+'[5]bs line-up'!$R$41/1000</f>
        <v>2006.80097</v>
      </c>
      <c r="D20" s="11"/>
      <c r="E20" s="11">
        <f>3193372/1000</f>
        <v>3193.372</v>
      </c>
    </row>
    <row r="21" spans="2:5" ht="12.75">
      <c r="B21" s="3" t="s">
        <v>11</v>
      </c>
      <c r="C21" s="11">
        <f>+SUM('[5]bs line-up'!$R$42:$R$43)/1000+1</f>
        <v>38227.009</v>
      </c>
      <c r="D21" s="11"/>
      <c r="E21" s="11">
        <f>27986424/1000+8995199/1000</f>
        <v>36981.623</v>
      </c>
    </row>
    <row r="22" spans="2:5" ht="12.75">
      <c r="B22" s="3" t="s">
        <v>23</v>
      </c>
      <c r="C22" s="11">
        <f>('[5]bs line-up'!$R$48+'[5]bs line-up'!$R$49)/1000</f>
        <v>7350.18722</v>
      </c>
      <c r="D22" s="11"/>
      <c r="E22" s="11">
        <f>5575958/1000+2083011/1000+2193535/1000</f>
        <v>9852.503999999999</v>
      </c>
    </row>
    <row r="23" spans="3:5" ht="12.75">
      <c r="C23" s="19">
        <f>SUM(C18:C22)</f>
        <v>135328.97869</v>
      </c>
      <c r="D23" s="11"/>
      <c r="E23" s="19">
        <f>SUM(E18:E22)</f>
        <v>117333.977</v>
      </c>
    </row>
    <row r="24" spans="3:5" ht="12.75">
      <c r="C24" s="11"/>
      <c r="D24" s="11"/>
      <c r="E24" s="11"/>
    </row>
    <row r="25" spans="1:5" ht="12.75">
      <c r="A25" s="1" t="s">
        <v>12</v>
      </c>
      <c r="C25" s="11"/>
      <c r="D25" s="11"/>
      <c r="E25" s="11"/>
    </row>
    <row r="26" spans="2:5" ht="12.75">
      <c r="B26" s="3" t="s">
        <v>13</v>
      </c>
      <c r="C26" s="11">
        <f>+SUM('[5]bs line-up'!$R$57:$R$63)/1000</f>
        <v>56164.96587000001</v>
      </c>
      <c r="D26" s="11"/>
      <c r="E26" s="11">
        <f>34798803/1000+25181322/1000+259162/1000</f>
        <v>60239.287</v>
      </c>
    </row>
    <row r="27" spans="2:5" ht="12.75">
      <c r="B27" s="3" t="s">
        <v>20</v>
      </c>
      <c r="C27" s="45">
        <f>+SUM('[5]bs line-up'!$R$65:$R$66)/1000</f>
        <v>36692.72577</v>
      </c>
      <c r="D27" s="11"/>
      <c r="E27" s="11">
        <f>25902751/1000</f>
        <v>25902.751</v>
      </c>
    </row>
    <row r="28" spans="2:5" ht="12.75">
      <c r="B28" s="3" t="s">
        <v>8</v>
      </c>
      <c r="C28" s="11">
        <f>+'[5]bs line-up'!$R$67/1000</f>
        <v>10099.00416</v>
      </c>
      <c r="D28" s="11"/>
      <c r="E28" s="11">
        <f>6861045/1000</f>
        <v>6861.045</v>
      </c>
    </row>
    <row r="29" spans="3:5" ht="12.75">
      <c r="C29" s="19">
        <f>SUM(C25:C28)</f>
        <v>102956.6958</v>
      </c>
      <c r="D29" s="11"/>
      <c r="E29" s="19">
        <f>SUM(E25:E28)</f>
        <v>93003.083</v>
      </c>
    </row>
    <row r="30" spans="3:5" ht="12.75">
      <c r="C30" s="11"/>
      <c r="D30" s="11"/>
      <c r="E30" s="11"/>
    </row>
    <row r="31" spans="1:5" ht="12.75">
      <c r="A31" s="1" t="s">
        <v>51</v>
      </c>
      <c r="C31" s="11">
        <f>+C23-C29</f>
        <v>32372.282889999988</v>
      </c>
      <c r="D31" s="11"/>
      <c r="E31" s="11">
        <f>+E23-+E29</f>
        <v>24330.894</v>
      </c>
    </row>
    <row r="32" spans="3:5" ht="12.75">
      <c r="C32" s="11"/>
      <c r="D32" s="11"/>
      <c r="E32" s="11"/>
    </row>
    <row r="33" spans="3:5" s="1" customFormat="1" ht="13.5" thickBot="1">
      <c r="C33" s="23">
        <f>+C31+SUM(C9:C15)-1</f>
        <v>65785.52261999999</v>
      </c>
      <c r="D33" s="36"/>
      <c r="E33" s="23">
        <f>+E31+SUM(E9:E15)</f>
        <v>67480.856</v>
      </c>
    </row>
    <row r="34" spans="2:5" ht="13.5" thickTop="1">
      <c r="B34" s="3" t="s">
        <v>0</v>
      </c>
      <c r="C34" s="11" t="s">
        <v>0</v>
      </c>
      <c r="D34" s="11"/>
      <c r="E34" s="11"/>
    </row>
    <row r="35" spans="1:5" ht="12.75">
      <c r="A35" s="3" t="s">
        <v>14</v>
      </c>
      <c r="C35" s="11">
        <f>+'[5]bs line-up'!$R$9/1000</f>
        <v>51477.44649000001</v>
      </c>
      <c r="D35" s="11"/>
      <c r="E35" s="11">
        <f>46797679/1000</f>
        <v>46797.679</v>
      </c>
    </row>
    <row r="36" spans="1:5" ht="12.75">
      <c r="A36" s="3" t="s">
        <v>15</v>
      </c>
      <c r="C36" s="11" t="s">
        <v>0</v>
      </c>
      <c r="D36" s="11"/>
      <c r="E36" s="11"/>
    </row>
    <row r="37" spans="2:5" ht="12.75">
      <c r="B37" s="3" t="s">
        <v>16</v>
      </c>
      <c r="C37" s="11">
        <f>+'[5]bs line-up'!$R$10/1000</f>
        <v>9388.30843</v>
      </c>
      <c r="D37" s="11"/>
      <c r="E37" s="11">
        <f>9388308/1000</f>
        <v>9388.308</v>
      </c>
    </row>
    <row r="38" spans="2:5" ht="12.75">
      <c r="B38" s="3" t="s">
        <v>151</v>
      </c>
      <c r="C38" s="11">
        <f>+'[5]bs line-up'!$R$11/1000</f>
        <v>7019.651900000001</v>
      </c>
      <c r="D38" s="11"/>
      <c r="E38" s="11">
        <v>0</v>
      </c>
    </row>
    <row r="39" spans="2:5" ht="12.75">
      <c r="B39" s="3" t="s">
        <v>17</v>
      </c>
      <c r="C39" s="11">
        <f>+'[5]bs line-up'!$R$13/1000</f>
        <v>-8740.783516000001</v>
      </c>
      <c r="D39" s="11"/>
      <c r="E39" s="11">
        <f>-8859664/1000</f>
        <v>-8859.664</v>
      </c>
    </row>
    <row r="40" spans="2:5" ht="12.75">
      <c r="B40" s="3" t="s">
        <v>18</v>
      </c>
      <c r="C40" s="24">
        <f>+'[5]bs line-up'!$R$12/1000</f>
        <v>29.994</v>
      </c>
      <c r="D40" s="11"/>
      <c r="E40" s="24">
        <v>30</v>
      </c>
    </row>
    <row r="41" spans="1:5" ht="12.75">
      <c r="A41" s="3" t="s">
        <v>134</v>
      </c>
      <c r="C41" s="11">
        <f>SUM(C35:C40)-1</f>
        <v>59173.617304</v>
      </c>
      <c r="D41" s="11"/>
      <c r="E41" s="11">
        <f>SUM(E35:E40)</f>
        <v>47356.32299999999</v>
      </c>
    </row>
    <row r="42" spans="1:5" ht="12.75">
      <c r="A42" s="3" t="s">
        <v>135</v>
      </c>
      <c r="C42" s="24">
        <f>+'[5]bs line-up'!$R$16/1000+1</f>
        <v>1904.485</v>
      </c>
      <c r="D42" s="11"/>
      <c r="E42" s="24">
        <f>1928686/1000</f>
        <v>1928.686</v>
      </c>
    </row>
    <row r="43" spans="1:5" ht="12.75">
      <c r="A43" s="1" t="s">
        <v>136</v>
      </c>
      <c r="C43" s="11">
        <f>SUM(C41:C42)</f>
        <v>61078.102304</v>
      </c>
      <c r="D43" s="11"/>
      <c r="E43" s="11">
        <f>SUM(E41:E42)</f>
        <v>49285.00899999999</v>
      </c>
    </row>
    <row r="44" spans="3:5" ht="12.75">
      <c r="C44" s="11"/>
      <c r="D44" s="11"/>
      <c r="E44" s="11"/>
    </row>
    <row r="45" spans="1:5" ht="12.75">
      <c r="A45" s="1" t="s">
        <v>24</v>
      </c>
      <c r="C45" s="11">
        <f>+'[5]bs line-up'!$R$20/1000</f>
        <v>1315.14349</v>
      </c>
      <c r="D45" s="11"/>
      <c r="E45" s="11">
        <f>748720/1000</f>
        <v>748.72</v>
      </c>
    </row>
    <row r="46" spans="1:5" ht="12.75">
      <c r="A46" s="1" t="s">
        <v>19</v>
      </c>
      <c r="C46" s="11">
        <f>+'[5]bs line-up'!$R$21/1000</f>
        <v>3318.775</v>
      </c>
      <c r="D46" s="11"/>
      <c r="E46" s="11">
        <f>17375936/1000</f>
        <v>17375.936</v>
      </c>
    </row>
    <row r="47" spans="1:5" ht="12.75">
      <c r="A47" s="1" t="s">
        <v>75</v>
      </c>
      <c r="C47" s="11">
        <f>+'[5]bs line-up'!$R$19/1000</f>
        <v>73.50048999999999</v>
      </c>
      <c r="D47" s="11"/>
      <c r="E47" s="11">
        <f>71197/1000</f>
        <v>71.197</v>
      </c>
    </row>
    <row r="48" spans="3:5" ht="12.75">
      <c r="C48" s="11"/>
      <c r="D48" s="11"/>
      <c r="E48" s="11"/>
    </row>
    <row r="49" spans="3:5" s="1" customFormat="1" ht="13.5" thickBot="1">
      <c r="C49" s="23">
        <f>SUM(C43:C47)</f>
        <v>65785.521284</v>
      </c>
      <c r="D49" s="36"/>
      <c r="E49" s="23">
        <f>SUM(E43:E47)</f>
        <v>67480.862</v>
      </c>
    </row>
    <row r="50" spans="3:5" s="1" customFormat="1" ht="13.5" thickTop="1">
      <c r="C50" s="36"/>
      <c r="D50" s="36"/>
      <c r="E50" s="36"/>
    </row>
    <row r="51" spans="1:5" s="1" customFormat="1" ht="12.75">
      <c r="A51" s="1" t="s">
        <v>146</v>
      </c>
      <c r="C51" s="58">
        <f>(+C33-SUM(C45:C47)-C42)/C35</f>
        <v>1.1495057092914474</v>
      </c>
      <c r="D51" s="58"/>
      <c r="E51" s="58">
        <f>(+E33-SUM(E45:E47)-E42)/E35</f>
        <v>1.01193730142044</v>
      </c>
    </row>
    <row r="52" spans="1:5" ht="12.75">
      <c r="A52" s="1" t="s">
        <v>147</v>
      </c>
      <c r="C52" s="59"/>
      <c r="D52" s="59"/>
      <c r="E52" s="59"/>
    </row>
    <row r="53" spans="1:5" ht="12.75">
      <c r="A53" s="1"/>
      <c r="C53" s="59"/>
      <c r="D53" s="59"/>
      <c r="E53" s="59"/>
    </row>
    <row r="54" spans="3:5" ht="12.75">
      <c r="C54" s="11"/>
      <c r="D54" s="11"/>
      <c r="E54" s="11"/>
    </row>
    <row r="55" s="12" customFormat="1" ht="12.75">
      <c r="A55" s="12" t="s">
        <v>79</v>
      </c>
    </row>
    <row r="56" s="12" customFormat="1" ht="12.75">
      <c r="A56" s="12" t="s">
        <v>122</v>
      </c>
    </row>
    <row r="57" ht="12.75">
      <c r="A57" s="41"/>
    </row>
    <row r="59" spans="3:5" ht="12.75">
      <c r="C59" s="11">
        <f>+C49-C33</f>
        <v>-0.0013359999866224825</v>
      </c>
      <c r="D59" s="11"/>
      <c r="E59" s="11">
        <f>+E49-E33</f>
        <v>0.005999999993946403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75" zoomScaleSheetLayoutView="75" workbookViewId="0" topLeftCell="A40">
      <selection activeCell="P60" sqref="P60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70</v>
      </c>
    </row>
    <row r="3" ht="15.75">
      <c r="A3" s="2" t="s">
        <v>158</v>
      </c>
    </row>
    <row r="4" ht="12.75">
      <c r="A4" s="1"/>
    </row>
    <row r="5" spans="11:13" ht="12.75">
      <c r="K5" s="54" t="s">
        <v>159</v>
      </c>
      <c r="M5" s="54" t="s">
        <v>116</v>
      </c>
    </row>
    <row r="6" spans="11:13" ht="12.75">
      <c r="K6" s="8" t="s">
        <v>46</v>
      </c>
      <c r="M6" s="8" t="s">
        <v>46</v>
      </c>
    </row>
    <row r="7" ht="12.75">
      <c r="K7" s="51"/>
    </row>
    <row r="8" spans="1:11" ht="12.75">
      <c r="A8" s="1" t="s">
        <v>61</v>
      </c>
      <c r="K8" s="47"/>
    </row>
    <row r="9" spans="2:13" ht="12.75">
      <c r="B9" s="3" t="s">
        <v>102</v>
      </c>
      <c r="K9" s="47">
        <f>'[6]group-working'!$V$7/1000</f>
        <v>3193.04755</v>
      </c>
      <c r="M9" s="47">
        <v>-12802</v>
      </c>
    </row>
    <row r="10" spans="11:13" ht="12.75">
      <c r="K10" s="47"/>
      <c r="M10" s="47"/>
    </row>
    <row r="11" spans="2:13" ht="12.75">
      <c r="B11" s="3" t="s">
        <v>80</v>
      </c>
      <c r="K11" s="47"/>
      <c r="M11" s="47"/>
    </row>
    <row r="12" spans="3:13" ht="12.75">
      <c r="C12" s="3" t="s">
        <v>81</v>
      </c>
      <c r="K12" s="47">
        <f>+'[6]MPB-QR '!$I$12</f>
        <v>1150.57153</v>
      </c>
      <c r="M12" s="47">
        <v>1404</v>
      </c>
    </row>
    <row r="13" spans="3:13" ht="12.75">
      <c r="C13" s="3" t="s">
        <v>82</v>
      </c>
      <c r="K13" s="47">
        <f>+'[6]MPB-QR '!$I$13</f>
        <v>-69.07149000000001</v>
      </c>
      <c r="M13" s="47">
        <v>-34</v>
      </c>
    </row>
    <row r="14" spans="3:13" ht="12.75" hidden="1">
      <c r="C14" s="3" t="s">
        <v>83</v>
      </c>
      <c r="K14" s="47">
        <v>0</v>
      </c>
      <c r="M14" s="47">
        <v>0</v>
      </c>
    </row>
    <row r="15" spans="3:13" ht="12.75">
      <c r="C15" s="3" t="s">
        <v>77</v>
      </c>
      <c r="K15" s="47">
        <v>0</v>
      </c>
      <c r="M15" s="47">
        <v>9</v>
      </c>
    </row>
    <row r="16" spans="3:13" ht="12.75">
      <c r="C16" s="3" t="s">
        <v>145</v>
      </c>
      <c r="K16" s="47">
        <f>+'[6]MPB-QR '!$I$16</f>
        <v>-3006.491</v>
      </c>
      <c r="M16" s="47">
        <v>0</v>
      </c>
    </row>
    <row r="17" spans="3:13" ht="12.75">
      <c r="C17" s="3" t="s">
        <v>164</v>
      </c>
      <c r="K17" s="47">
        <f>+'[6]MPB-QR '!$I$17</f>
        <v>-395.0004</v>
      </c>
      <c r="M17" s="47"/>
    </row>
    <row r="18" spans="3:13" ht="12.75">
      <c r="C18" s="3" t="s">
        <v>62</v>
      </c>
      <c r="K18" s="47">
        <f>+'[6]MPB-QR '!$I$18</f>
        <v>-171.7274</v>
      </c>
      <c r="M18" s="47">
        <v>-67</v>
      </c>
    </row>
    <row r="19" spans="3:13" ht="12.75">
      <c r="C19" s="3" t="s">
        <v>84</v>
      </c>
      <c r="K19" s="11">
        <f>+'[6]MPB-QR '!$I$19</f>
        <v>949.0911499999999</v>
      </c>
      <c r="L19" s="12"/>
      <c r="M19" s="11">
        <v>1581</v>
      </c>
    </row>
    <row r="20" spans="3:13" ht="12.75" hidden="1">
      <c r="C20" s="3" t="s">
        <v>117</v>
      </c>
      <c r="K20" s="52">
        <v>0</v>
      </c>
      <c r="M20" s="47">
        <v>0</v>
      </c>
    </row>
    <row r="21" spans="3:13" ht="12.75" hidden="1">
      <c r="C21" s="3" t="s">
        <v>78</v>
      </c>
      <c r="K21" s="52">
        <v>0</v>
      </c>
      <c r="M21" s="47">
        <v>0</v>
      </c>
    </row>
    <row r="22" spans="3:13" ht="12.75" hidden="1">
      <c r="C22" s="3" t="s">
        <v>85</v>
      </c>
      <c r="K22" s="37">
        <v>0</v>
      </c>
      <c r="L22" s="12"/>
      <c r="M22" s="11">
        <v>0</v>
      </c>
    </row>
    <row r="23" spans="3:13" ht="12.75">
      <c r="C23" s="3" t="s">
        <v>121</v>
      </c>
      <c r="K23" s="39">
        <f>'[4]group-working'!$V$15</f>
        <v>0</v>
      </c>
      <c r="M23" s="24">
        <v>4034</v>
      </c>
    </row>
    <row r="24" spans="11:13" ht="12.75">
      <c r="K24" s="11"/>
      <c r="M24" s="11"/>
    </row>
    <row r="25" spans="2:13" ht="12.75">
      <c r="B25" s="3" t="s">
        <v>108</v>
      </c>
      <c r="K25" s="37">
        <f>SUM(K9:K24)+1</f>
        <v>1651.419939999999</v>
      </c>
      <c r="L25" s="48"/>
      <c r="M25" s="37">
        <f>SUM(M9:M24)</f>
        <v>-5875</v>
      </c>
    </row>
    <row r="26" spans="11:13" ht="12.75">
      <c r="K26" s="47"/>
      <c r="M26" s="47"/>
    </row>
    <row r="27" spans="2:13" ht="12.75">
      <c r="B27" s="3" t="s">
        <v>101</v>
      </c>
      <c r="K27" s="47"/>
      <c r="M27" s="47"/>
    </row>
    <row r="28" spans="3:13" ht="12.75">
      <c r="C28" s="3" t="s">
        <v>25</v>
      </c>
      <c r="K28" s="11">
        <f>+'[6]MPB-QR '!$I$28</f>
        <v>1186.5710599999998</v>
      </c>
      <c r="L28" s="12"/>
      <c r="M28" s="11">
        <v>-403</v>
      </c>
    </row>
    <row r="29" spans="3:13" ht="12.75">
      <c r="C29" s="3" t="s">
        <v>86</v>
      </c>
      <c r="K29" s="11">
        <f>+'[6]MPB-QR '!$I$29</f>
        <v>-17480.571</v>
      </c>
      <c r="L29" s="12"/>
      <c r="M29" s="11">
        <v>-132</v>
      </c>
    </row>
    <row r="30" spans="3:13" ht="12.75">
      <c r="C30" s="3" t="s">
        <v>68</v>
      </c>
      <c r="K30" s="37">
        <f>+'[6]MPB-QR '!$I$30</f>
        <v>-23732.699879999996</v>
      </c>
      <c r="L30" s="12"/>
      <c r="M30" s="37">
        <v>-38804</v>
      </c>
    </row>
    <row r="31" spans="3:13" ht="12.75" hidden="1">
      <c r="C31" s="3" t="s">
        <v>111</v>
      </c>
      <c r="K31" s="37">
        <v>0</v>
      </c>
      <c r="L31" s="12"/>
      <c r="M31" s="11">
        <v>0</v>
      </c>
    </row>
    <row r="32" spans="3:13" ht="12.75">
      <c r="C32" s="3" t="s">
        <v>87</v>
      </c>
      <c r="K32" s="11">
        <f>+'[6]MPB-QR '!$I$31</f>
        <v>9750.63471</v>
      </c>
      <c r="L32" s="12"/>
      <c r="M32" s="11">
        <v>-9291</v>
      </c>
    </row>
    <row r="33" spans="3:13" ht="12.75">
      <c r="C33" s="3" t="s">
        <v>88</v>
      </c>
      <c r="K33" s="24">
        <f>+'[6]MPB-QR '!$I$32</f>
        <v>16089.68261</v>
      </c>
      <c r="L33" s="12"/>
      <c r="M33" s="24">
        <v>25209</v>
      </c>
    </row>
    <row r="34" spans="3:13" ht="12.75" hidden="1">
      <c r="C34" s="3" t="s">
        <v>69</v>
      </c>
      <c r="K34" s="24">
        <f>+'[2]group'!$T$26/1000</f>
        <v>0</v>
      </c>
      <c r="L34" s="12"/>
      <c r="M34" s="24">
        <v>0</v>
      </c>
    </row>
    <row r="35" spans="3:13" ht="12.75" hidden="1">
      <c r="C35" s="3" t="s">
        <v>92</v>
      </c>
      <c r="K35" s="11">
        <v>0</v>
      </c>
      <c r="L35" s="12"/>
      <c r="M35" s="11">
        <v>0</v>
      </c>
    </row>
    <row r="36" spans="3:13" ht="12.75" hidden="1">
      <c r="C36" s="3" t="s">
        <v>69</v>
      </c>
      <c r="K36" s="24">
        <v>0</v>
      </c>
      <c r="L36" s="12"/>
      <c r="M36" s="24">
        <v>0</v>
      </c>
    </row>
    <row r="37" spans="11:13" ht="12.75">
      <c r="K37" s="11">
        <f>SUM(K28:K36)</f>
        <v>-14186.382499999996</v>
      </c>
      <c r="L37" s="12"/>
      <c r="M37" s="11">
        <f>SUM(M28:M36)</f>
        <v>-23421</v>
      </c>
    </row>
    <row r="38" spans="11:13" ht="12.75">
      <c r="K38" s="11"/>
      <c r="M38" s="11"/>
    </row>
    <row r="39" spans="2:13" ht="12.75">
      <c r="B39" s="3" t="s">
        <v>103</v>
      </c>
      <c r="K39" s="47">
        <f>+K25+K37</f>
        <v>-12534.962559999996</v>
      </c>
      <c r="M39" s="47">
        <f>+M25+M37</f>
        <v>-29296</v>
      </c>
    </row>
    <row r="40" spans="11:13" ht="12.75">
      <c r="K40" s="47"/>
      <c r="M40" s="47"/>
    </row>
    <row r="41" spans="3:13" ht="12.75">
      <c r="C41" s="3" t="s">
        <v>89</v>
      </c>
      <c r="K41" s="11">
        <f>+'[6]MPB-QR '!$I$38-2</f>
        <v>-194.272</v>
      </c>
      <c r="L41" s="12"/>
      <c r="M41" s="11">
        <v>-938</v>
      </c>
    </row>
    <row r="42" spans="3:13" ht="12.75">
      <c r="C42" s="3" t="s">
        <v>63</v>
      </c>
      <c r="K42" s="37">
        <f>+'[6]MPB-QR '!$I$39</f>
        <v>171.7274</v>
      </c>
      <c r="L42" s="12"/>
      <c r="M42" s="11">
        <v>67</v>
      </c>
    </row>
    <row r="43" spans="3:13" ht="12.75">
      <c r="C43" s="3" t="s">
        <v>64</v>
      </c>
      <c r="K43" s="39">
        <f>+'[6]MPB-QR '!$I$40</f>
        <v>-949.0911499999999</v>
      </c>
      <c r="L43" s="12"/>
      <c r="M43" s="24">
        <v>-1581</v>
      </c>
    </row>
    <row r="44" spans="11:13" ht="12.75">
      <c r="K44" s="11">
        <f>SUM(K41:K43)+1</f>
        <v>-970.6357499999999</v>
      </c>
      <c r="L44" s="12"/>
      <c r="M44" s="11">
        <f>SUM(M41:M43)</f>
        <v>-2452</v>
      </c>
    </row>
    <row r="45" spans="11:13" ht="12.75">
      <c r="K45" s="47"/>
      <c r="M45" s="11"/>
    </row>
    <row r="46" spans="2:13" ht="12.75">
      <c r="B46" s="3" t="s">
        <v>104</v>
      </c>
      <c r="K46" s="24">
        <f>+K39+K44</f>
        <v>-13505.598309999996</v>
      </c>
      <c r="M46" s="24">
        <f>+M39+M44</f>
        <v>-31748</v>
      </c>
    </row>
    <row r="47" spans="11:13" ht="12.75">
      <c r="K47" s="11"/>
      <c r="M47" s="11"/>
    </row>
    <row r="48" spans="2:13" ht="12.75">
      <c r="B48" s="1" t="s">
        <v>65</v>
      </c>
      <c r="K48" s="47"/>
      <c r="M48" s="47"/>
    </row>
    <row r="49" spans="3:13" ht="12.75">
      <c r="C49" s="3" t="s">
        <v>66</v>
      </c>
      <c r="K49" s="47">
        <f>+'[6]MPB-QR '!$I$46</f>
        <v>-628.71851</v>
      </c>
      <c r="M49" s="47">
        <v>-1008</v>
      </c>
    </row>
    <row r="50" spans="3:13" ht="12.75">
      <c r="C50" s="3" t="s">
        <v>137</v>
      </c>
      <c r="K50" s="47">
        <f>+'[6]MPB-QR '!$I$48</f>
        <v>5610</v>
      </c>
      <c r="M50" s="47">
        <v>0</v>
      </c>
    </row>
    <row r="51" spans="3:13" ht="12.75">
      <c r="C51" s="3" t="s">
        <v>91</v>
      </c>
      <c r="K51" s="24">
        <f>+'[6]MPB-QR '!$I$50+'[6]MPB-QR '!$I$47+1</f>
        <v>389.32243</v>
      </c>
      <c r="M51" s="24">
        <v>36</v>
      </c>
    </row>
    <row r="52" spans="3:13" ht="12.75" hidden="1">
      <c r="C52" s="55" t="s">
        <v>92</v>
      </c>
      <c r="D52" s="55"/>
      <c r="E52" s="55"/>
      <c r="F52" s="55"/>
      <c r="G52" s="55"/>
      <c r="H52" s="55"/>
      <c r="I52" s="55"/>
      <c r="J52" s="55"/>
      <c r="K52" s="56">
        <v>0</v>
      </c>
      <c r="L52" s="55">
        <v>0</v>
      </c>
      <c r="M52" s="57">
        <v>0</v>
      </c>
    </row>
    <row r="54" spans="2:13" ht="12.75">
      <c r="B54" s="3" t="s">
        <v>105</v>
      </c>
      <c r="K54" s="11">
        <f>SUM(K49:K53)-1</f>
        <v>5369.6039200000005</v>
      </c>
      <c r="M54" s="11">
        <f>SUM(M49:M53)</f>
        <v>-972</v>
      </c>
    </row>
    <row r="55" spans="11:13" ht="12.75">
      <c r="K55" s="47"/>
      <c r="M55" s="47"/>
    </row>
    <row r="56" spans="2:13" ht="12.75">
      <c r="B56" s="1" t="s">
        <v>67</v>
      </c>
      <c r="K56" s="47"/>
      <c r="M56" s="47"/>
    </row>
    <row r="57" spans="3:13" ht="12.75">
      <c r="C57" s="3" t="s">
        <v>114</v>
      </c>
      <c r="K57" s="47">
        <f>+'[6]MPB-QR '!$I$55</f>
        <v>-517.53298</v>
      </c>
      <c r="M57" s="47">
        <v>-352</v>
      </c>
    </row>
    <row r="58" spans="3:13" ht="12.75">
      <c r="C58" s="3" t="s">
        <v>115</v>
      </c>
      <c r="K58" s="47">
        <f>+'[6]MPB-QR '!$I$56</f>
        <v>-6500</v>
      </c>
      <c r="M58" s="47">
        <v>-2013</v>
      </c>
    </row>
    <row r="59" spans="3:13" ht="12.75">
      <c r="C59" s="3" t="s">
        <v>113</v>
      </c>
      <c r="K59" s="47">
        <f>+'[6]MPB-QR '!$I$58</f>
        <v>10985.44206</v>
      </c>
      <c r="M59" s="47">
        <v>27422</v>
      </c>
    </row>
    <row r="60" spans="3:13" ht="12.75">
      <c r="C60" s="3" t="s">
        <v>143</v>
      </c>
      <c r="K60" s="47">
        <f>+'[6]MPB-QR '!$I$59</f>
        <v>733.51</v>
      </c>
      <c r="M60" s="47">
        <v>-1186</v>
      </c>
    </row>
    <row r="61" spans="3:13" ht="12.75">
      <c r="C61" s="3" t="s">
        <v>93</v>
      </c>
      <c r="K61" s="11">
        <f>+'[6]MPB-QR '!$I$60</f>
        <v>4679.767</v>
      </c>
      <c r="M61" s="47">
        <v>5943</v>
      </c>
    </row>
    <row r="62" spans="3:13" ht="12.75">
      <c r="C62" s="3" t="s">
        <v>155</v>
      </c>
      <c r="K62" s="24">
        <f>+'[6]MPB-QR '!$I$61</f>
        <v>7019.6517</v>
      </c>
      <c r="M62" s="24">
        <v>0</v>
      </c>
    </row>
    <row r="63" spans="11:13" ht="12.75">
      <c r="K63" s="47"/>
      <c r="M63" s="47"/>
    </row>
    <row r="64" spans="2:13" ht="12.75">
      <c r="B64" s="3" t="s">
        <v>106</v>
      </c>
      <c r="K64" s="11">
        <f>SUM(K57:K63)</f>
        <v>16400.83778</v>
      </c>
      <c r="L64" s="12"/>
      <c r="M64" s="11">
        <f>SUM(M57:M63)</f>
        <v>29814</v>
      </c>
    </row>
    <row r="65" spans="11:13" ht="12.75">
      <c r="K65" s="47"/>
      <c r="M65" s="47"/>
    </row>
    <row r="66" spans="2:13" ht="12.75">
      <c r="B66" s="1" t="s">
        <v>109</v>
      </c>
      <c r="K66" s="47"/>
      <c r="M66" s="47"/>
    </row>
    <row r="67" spans="2:13" ht="12.75">
      <c r="B67" s="1" t="s">
        <v>94</v>
      </c>
      <c r="K67" s="47">
        <f>+K46+K54+K64</f>
        <v>8264.843390000005</v>
      </c>
      <c r="M67" s="47">
        <f>+M46+M54+M64</f>
        <v>-2906</v>
      </c>
    </row>
    <row r="68" spans="2:13" ht="12.75">
      <c r="B68" s="1"/>
      <c r="K68" s="47"/>
      <c r="M68" s="47"/>
    </row>
    <row r="69" spans="2:13" ht="12.75">
      <c r="B69" s="1" t="s">
        <v>95</v>
      </c>
      <c r="K69" s="47"/>
      <c r="M69" s="47"/>
    </row>
    <row r="70" spans="2:13" ht="12.75">
      <c r="B70" s="1" t="s">
        <v>94</v>
      </c>
      <c r="K70" s="52">
        <f>+'[6]MPB-QR '!$I$69</f>
        <v>-9107.186489999998</v>
      </c>
      <c r="M70" s="47">
        <v>-6899</v>
      </c>
    </row>
    <row r="71" spans="2:13" ht="12.75">
      <c r="B71" s="1"/>
      <c r="K71" s="47"/>
      <c r="M71" s="47"/>
    </row>
    <row r="72" spans="2:13" ht="12.75">
      <c r="B72" s="1" t="s">
        <v>96</v>
      </c>
      <c r="K72" s="47"/>
      <c r="M72" s="47"/>
    </row>
    <row r="73" spans="2:13" ht="13.5" thickBot="1">
      <c r="B73" s="1" t="s">
        <v>94</v>
      </c>
      <c r="K73" s="50">
        <f>SUM(K67:K70)</f>
        <v>-842.3430999999928</v>
      </c>
      <c r="M73" s="50">
        <f>SUM(M67:M70)</f>
        <v>-9805</v>
      </c>
    </row>
    <row r="74" spans="11:13" ht="12.75">
      <c r="K74" s="47"/>
      <c r="M74" s="47"/>
    </row>
    <row r="75" spans="11:13" ht="12.75">
      <c r="K75" s="47"/>
      <c r="M75" s="47"/>
    </row>
    <row r="76" spans="2:13" ht="12.75">
      <c r="B76" s="3" t="s">
        <v>97</v>
      </c>
      <c r="K76" s="47"/>
      <c r="M76" s="47"/>
    </row>
    <row r="77" spans="3:13" ht="12.75">
      <c r="C77" s="3" t="s">
        <v>98</v>
      </c>
      <c r="K77" s="47">
        <f>+'[6]MPB-QR '!$I$76</f>
        <v>3320.81124</v>
      </c>
      <c r="M77" s="47">
        <v>3072</v>
      </c>
    </row>
    <row r="78" spans="3:13" ht="12.75">
      <c r="C78" s="3" t="s">
        <v>118</v>
      </c>
      <c r="K78" s="47">
        <f>+'[6]MPB-QR '!$I$77</f>
        <v>1430</v>
      </c>
      <c r="M78" s="47">
        <v>1430</v>
      </c>
    </row>
    <row r="79" spans="3:13" ht="12.75">
      <c r="C79" s="3" t="s">
        <v>99</v>
      </c>
      <c r="K79" s="47">
        <f>+'[6]MPB-QR '!$I$78</f>
        <v>4842.44807</v>
      </c>
      <c r="M79" s="47">
        <v>6712</v>
      </c>
    </row>
    <row r="80" spans="3:13" ht="12.75">
      <c r="C80" s="3" t="s">
        <v>100</v>
      </c>
      <c r="K80" s="47">
        <f>+'[6]MPB-QR '!$I$79</f>
        <v>-5593.15434</v>
      </c>
      <c r="M80" s="47">
        <v>-14307</v>
      </c>
    </row>
    <row r="81" spans="3:13" ht="12.75">
      <c r="C81" s="3" t="s">
        <v>119</v>
      </c>
      <c r="K81" s="47">
        <f>+'[6]MPB-QR '!$I$81</f>
        <v>-4842.44807</v>
      </c>
      <c r="M81" s="47">
        <f>-M79</f>
        <v>-6712</v>
      </c>
    </row>
    <row r="82" spans="11:13" ht="13.5" thickBot="1">
      <c r="K82" s="49">
        <f>SUM(K77:K81)</f>
        <v>-842.3430999999991</v>
      </c>
      <c r="M82" s="50">
        <f>SUM(M77:M81)</f>
        <v>-9805</v>
      </c>
    </row>
    <row r="83" spans="11:13" ht="12.75">
      <c r="K83" s="42"/>
      <c r="M83" s="11"/>
    </row>
    <row r="84" spans="11:13" ht="12.75">
      <c r="K84" s="42"/>
      <c r="M84" s="11"/>
    </row>
    <row r="85" spans="1:13" ht="12.75">
      <c r="A85" s="12" t="s">
        <v>90</v>
      </c>
      <c r="M85" s="47"/>
    </row>
    <row r="86" spans="1:13" ht="12.75">
      <c r="A86" s="12" t="s">
        <v>122</v>
      </c>
      <c r="M86" s="47"/>
    </row>
    <row r="87" ht="12.75">
      <c r="M87" s="47"/>
    </row>
    <row r="88" spans="11:13" ht="12.75">
      <c r="K88" s="66"/>
      <c r="L88" s="53">
        <f>L73-L82</f>
        <v>0</v>
      </c>
      <c r="M88" s="53">
        <f>M73-M82</f>
        <v>0</v>
      </c>
    </row>
  </sheetData>
  <printOptions/>
  <pageMargins left="0.984251968503937" right="0.11811023622047245" top="0.7086614173228347" bottom="0.31496062992125984" header="0.5118110236220472" footer="0.5118110236220472"/>
  <pageSetup firstPageNumber="3" useFirstPageNumber="1" horizontalDpi="300" verticalDpi="300" orientation="portrait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75" zoomScaleSheetLayoutView="75" workbookViewId="0" topLeftCell="A10">
      <selection activeCell="U26" sqref="U26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1.57421875" style="3" customWidth="1"/>
    <col min="4" max="4" width="0.71875" style="3" customWidth="1"/>
    <col min="5" max="5" width="12.8515625" style="3" customWidth="1"/>
    <col min="6" max="6" width="0.9921875" style="3" customWidth="1"/>
    <col min="7" max="7" width="13.57421875" style="3" customWidth="1"/>
    <col min="8" max="8" width="0.71875" style="3" customWidth="1"/>
    <col min="9" max="9" width="13.421875" style="3" customWidth="1"/>
    <col min="10" max="10" width="0.71875" style="3" customWidth="1"/>
    <col min="11" max="11" width="13.7109375" style="3" customWidth="1"/>
    <col min="12" max="12" width="0.9921875" style="3" customWidth="1"/>
    <col min="13" max="13" width="13.57421875" style="3" customWidth="1"/>
    <col min="14" max="14" width="0.71875" style="3" customWidth="1"/>
    <col min="15" max="15" width="15.00390625" style="3" customWidth="1"/>
    <col min="16" max="16" width="0.9921875" style="3" customWidth="1"/>
    <col min="17" max="17" width="14.28125" style="3" customWidth="1"/>
    <col min="18" max="18" width="0.9921875" style="3" customWidth="1"/>
    <col min="19" max="19" width="13.5742187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73</v>
      </c>
      <c r="B3" s="2"/>
    </row>
    <row r="4" spans="1:2" s="20" customFormat="1" ht="15.75">
      <c r="A4" s="2" t="s">
        <v>156</v>
      </c>
      <c r="B4" s="2"/>
    </row>
    <row r="5" spans="1:2" s="20" customFormat="1" ht="15.75">
      <c r="A5" s="2"/>
      <c r="B5" s="2"/>
    </row>
    <row r="6" spans="1:2" s="20" customFormat="1" ht="15.75">
      <c r="A6" s="2"/>
      <c r="B6" s="2"/>
    </row>
    <row r="7" spans="5:19" ht="12.75">
      <c r="E7" s="67" t="s">
        <v>148</v>
      </c>
      <c r="F7" s="67"/>
      <c r="G7" s="67"/>
      <c r="H7" s="67"/>
      <c r="I7" s="67"/>
      <c r="J7" s="67"/>
      <c r="K7" s="67"/>
      <c r="L7" s="67"/>
      <c r="M7" s="67"/>
      <c r="N7" s="67"/>
      <c r="O7" s="67"/>
      <c r="Q7" s="29" t="s">
        <v>132</v>
      </c>
      <c r="R7" s="30"/>
      <c r="S7" s="29" t="s">
        <v>37</v>
      </c>
    </row>
    <row r="8" spans="7:19" ht="12.75">
      <c r="G8" s="68" t="s">
        <v>149</v>
      </c>
      <c r="H8" s="68"/>
      <c r="I8" s="68"/>
      <c r="J8" s="68"/>
      <c r="K8" s="68"/>
      <c r="M8" s="65" t="s">
        <v>150</v>
      </c>
      <c r="Q8" s="29" t="s">
        <v>133</v>
      </c>
      <c r="R8" s="30"/>
      <c r="S8" s="29" t="s">
        <v>131</v>
      </c>
    </row>
    <row r="10" spans="5:16" s="28" customFormat="1" ht="12.75">
      <c r="E10" s="29" t="s">
        <v>52</v>
      </c>
      <c r="F10" s="29"/>
      <c r="G10" s="29" t="s">
        <v>52</v>
      </c>
      <c r="H10" s="29"/>
      <c r="I10" s="29" t="s">
        <v>153</v>
      </c>
      <c r="J10" s="29"/>
      <c r="K10" s="29" t="s">
        <v>53</v>
      </c>
      <c r="L10" s="29"/>
      <c r="M10" s="29" t="s">
        <v>54</v>
      </c>
      <c r="N10" s="30"/>
      <c r="O10" s="29" t="s">
        <v>130</v>
      </c>
      <c r="P10" s="30"/>
    </row>
    <row r="11" spans="5:16" s="28" customFormat="1" ht="12.75">
      <c r="E11" s="29" t="s">
        <v>53</v>
      </c>
      <c r="F11" s="29"/>
      <c r="G11" s="29" t="s">
        <v>55</v>
      </c>
      <c r="H11" s="29"/>
      <c r="I11" s="29" t="s">
        <v>152</v>
      </c>
      <c r="J11" s="29"/>
      <c r="K11" s="29" t="s">
        <v>56</v>
      </c>
      <c r="L11" s="29"/>
      <c r="M11" s="29" t="s">
        <v>57</v>
      </c>
      <c r="N11" s="30"/>
      <c r="O11" s="29" t="s">
        <v>131</v>
      </c>
      <c r="P11" s="30"/>
    </row>
    <row r="12" spans="5:19" s="28" customFormat="1" ht="12.75"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3:19" s="28" customFormat="1" ht="12.75">
      <c r="C13" s="28" t="s">
        <v>112</v>
      </c>
      <c r="E13" s="29" t="s">
        <v>46</v>
      </c>
      <c r="F13" s="29"/>
      <c r="G13" s="29" t="s">
        <v>46</v>
      </c>
      <c r="H13" s="29"/>
      <c r="I13" s="29" t="s">
        <v>46</v>
      </c>
      <c r="J13" s="29"/>
      <c r="K13" s="29" t="s">
        <v>46</v>
      </c>
      <c r="L13" s="29"/>
      <c r="M13" s="29" t="s">
        <v>46</v>
      </c>
      <c r="N13" s="29"/>
      <c r="O13" s="29" t="s">
        <v>46</v>
      </c>
      <c r="P13" s="29"/>
      <c r="Q13" s="29" t="s">
        <v>46</v>
      </c>
      <c r="R13" s="29"/>
      <c r="S13" s="29" t="s">
        <v>46</v>
      </c>
    </row>
    <row r="14" s="28" customFormat="1" ht="12.75"/>
    <row r="15" spans="5:19" s="28" customFormat="1" ht="12.75">
      <c r="E15" s="33"/>
      <c r="F15" s="31"/>
      <c r="G15" s="33"/>
      <c r="H15" s="31"/>
      <c r="I15" s="31"/>
      <c r="J15" s="31"/>
      <c r="K15" s="33"/>
      <c r="L15" s="31"/>
      <c r="M15" s="33"/>
      <c r="N15" s="31"/>
      <c r="O15" s="33"/>
      <c r="P15" s="31"/>
      <c r="Q15" s="33"/>
      <c r="R15" s="31"/>
      <c r="S15" s="33"/>
    </row>
    <row r="16" spans="1:19" s="28" customFormat="1" ht="12.75">
      <c r="A16" s="28" t="s">
        <v>123</v>
      </c>
      <c r="E16" s="33">
        <v>46798</v>
      </c>
      <c r="F16" s="33"/>
      <c r="G16" s="33">
        <v>9388</v>
      </c>
      <c r="H16" s="33"/>
      <c r="I16" s="33">
        <v>0</v>
      </c>
      <c r="J16" s="33"/>
      <c r="K16" s="33">
        <v>30</v>
      </c>
      <c r="L16" s="33"/>
      <c r="M16" s="33">
        <f>-8860</f>
        <v>-8860</v>
      </c>
      <c r="N16" s="33"/>
      <c r="O16" s="31">
        <f aca="true" t="shared" si="0" ref="O16:O21">SUM(E16:M16)</f>
        <v>47356</v>
      </c>
      <c r="P16" s="33"/>
      <c r="Q16" s="31">
        <f>1929</f>
        <v>1929</v>
      </c>
      <c r="R16" s="33"/>
      <c r="S16" s="31">
        <f aca="true" t="shared" si="1" ref="S16:S21">+O16+Q16</f>
        <v>49285</v>
      </c>
    </row>
    <row r="17" spans="1:19" s="28" customFormat="1" ht="12.75">
      <c r="A17" s="28" t="s">
        <v>58</v>
      </c>
      <c r="E17" s="31">
        <v>0</v>
      </c>
      <c r="F17" s="31"/>
      <c r="G17" s="31">
        <v>0</v>
      </c>
      <c r="H17" s="31"/>
      <c r="I17" s="31">
        <v>0</v>
      </c>
      <c r="J17" s="31"/>
      <c r="K17" s="31">
        <v>0</v>
      </c>
      <c r="L17" s="31"/>
      <c r="M17" s="31">
        <v>0</v>
      </c>
      <c r="N17" s="31"/>
      <c r="O17" s="31">
        <f t="shared" si="0"/>
        <v>0</v>
      </c>
      <c r="P17" s="31"/>
      <c r="Q17" s="31">
        <f>SUM(G17:O17)</f>
        <v>0</v>
      </c>
      <c r="R17" s="31"/>
      <c r="S17" s="31">
        <f t="shared" si="1"/>
        <v>0</v>
      </c>
    </row>
    <row r="18" spans="1:19" s="28" customFormat="1" ht="12.75">
      <c r="A18" s="28" t="s">
        <v>60</v>
      </c>
      <c r="E18" s="31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f t="shared" si="0"/>
        <v>0</v>
      </c>
      <c r="P18" s="31"/>
      <c r="Q18" s="31">
        <f>SUM(G18:O18)</f>
        <v>0</v>
      </c>
      <c r="R18" s="31"/>
      <c r="S18" s="31">
        <f t="shared" si="1"/>
        <v>0</v>
      </c>
    </row>
    <row r="19" spans="1:19" s="28" customFormat="1" ht="12.75">
      <c r="A19" s="28" t="s">
        <v>72</v>
      </c>
      <c r="E19" s="31">
        <v>4679</v>
      </c>
      <c r="F19" s="31"/>
      <c r="G19" s="31">
        <v>0</v>
      </c>
      <c r="H19" s="31"/>
      <c r="I19" s="31">
        <v>0</v>
      </c>
      <c r="J19" s="31"/>
      <c r="K19" s="31">
        <v>0</v>
      </c>
      <c r="L19" s="31"/>
      <c r="M19" s="31">
        <v>0</v>
      </c>
      <c r="N19" s="31"/>
      <c r="O19" s="31">
        <f t="shared" si="0"/>
        <v>4679</v>
      </c>
      <c r="P19" s="31"/>
      <c r="Q19" s="31"/>
      <c r="R19" s="31"/>
      <c r="S19" s="31">
        <f t="shared" si="1"/>
        <v>4679</v>
      </c>
    </row>
    <row r="20" spans="1:19" s="28" customFormat="1" ht="12.75">
      <c r="A20" s="28" t="s">
        <v>154</v>
      </c>
      <c r="E20" s="31">
        <v>0</v>
      </c>
      <c r="F20" s="31"/>
      <c r="G20" s="31">
        <v>0</v>
      </c>
      <c r="H20" s="31"/>
      <c r="I20" s="31">
        <f>+'BS'!C38</f>
        <v>7019.651900000001</v>
      </c>
      <c r="J20" s="31"/>
      <c r="K20" s="31">
        <v>0</v>
      </c>
      <c r="L20" s="31"/>
      <c r="M20" s="31">
        <v>0</v>
      </c>
      <c r="N20" s="31"/>
      <c r="O20" s="31">
        <f t="shared" si="0"/>
        <v>7019.651900000001</v>
      </c>
      <c r="P20" s="31"/>
      <c r="Q20" s="31">
        <v>0</v>
      </c>
      <c r="R20" s="31"/>
      <c r="S20" s="31">
        <f t="shared" si="1"/>
        <v>7019.651900000001</v>
      </c>
    </row>
    <row r="21" spans="1:19" s="28" customFormat="1" ht="12.75">
      <c r="A21" s="28" t="s">
        <v>120</v>
      </c>
      <c r="E21" s="32">
        <v>0</v>
      </c>
      <c r="F21" s="31"/>
      <c r="G21" s="32">
        <v>0</v>
      </c>
      <c r="H21" s="31"/>
      <c r="I21" s="32">
        <v>0</v>
      </c>
      <c r="J21" s="31"/>
      <c r="K21" s="32">
        <v>0</v>
      </c>
      <c r="L21" s="31"/>
      <c r="M21" s="63">
        <f>+'P&amp;L'!F41+'P&amp;L'!F40</f>
        <v>118.88204999999559</v>
      </c>
      <c r="N21" s="31"/>
      <c r="O21" s="32">
        <f t="shared" si="0"/>
        <v>118.88204999999559</v>
      </c>
      <c r="P21" s="31"/>
      <c r="Q21" s="32">
        <f>-+'P&amp;L'!F40</f>
        <v>-25.201</v>
      </c>
      <c r="R21" s="31"/>
      <c r="S21" s="32">
        <f t="shared" si="1"/>
        <v>93.6810499999956</v>
      </c>
    </row>
    <row r="22" spans="5:19" s="28" customFormat="1" ht="12.75">
      <c r="E22" s="33"/>
      <c r="F22" s="31"/>
      <c r="G22" s="33"/>
      <c r="H22" s="31"/>
      <c r="I22" s="31"/>
      <c r="J22" s="31"/>
      <c r="K22" s="33"/>
      <c r="L22" s="31"/>
      <c r="M22" s="33"/>
      <c r="N22" s="31"/>
      <c r="O22" s="33"/>
      <c r="P22" s="31"/>
      <c r="Q22" s="33"/>
      <c r="R22" s="31"/>
      <c r="S22" s="33"/>
    </row>
    <row r="23" spans="1:19" s="28" customFormat="1" ht="13.5" thickBot="1">
      <c r="A23" s="28" t="s">
        <v>161</v>
      </c>
      <c r="E23" s="34">
        <f>SUM(E16:E21)</f>
        <v>51477</v>
      </c>
      <c r="F23" s="35"/>
      <c r="G23" s="34">
        <f>SUM(G16:G21)</f>
        <v>9388</v>
      </c>
      <c r="H23" s="35"/>
      <c r="I23" s="34">
        <f>SUM(I16:I21)</f>
        <v>7019.651900000001</v>
      </c>
      <c r="J23" s="35"/>
      <c r="K23" s="34">
        <f>SUM(K16:K21)</f>
        <v>30</v>
      </c>
      <c r="L23" s="35"/>
      <c r="M23" s="34">
        <f>SUM(M16:M21)</f>
        <v>-8741.117950000005</v>
      </c>
      <c r="N23" s="35"/>
      <c r="O23" s="34">
        <f>SUM(O16:O21)</f>
        <v>59173.53394999999</v>
      </c>
      <c r="P23" s="35"/>
      <c r="Q23" s="34">
        <f>SUM(Q16:Q21)</f>
        <v>1903.799</v>
      </c>
      <c r="R23" s="35"/>
      <c r="S23" s="34">
        <f>SUM(S16:S21)+1</f>
        <v>61078.332949999996</v>
      </c>
    </row>
    <row r="24" spans="5:19" s="28" customFormat="1" ht="12.75">
      <c r="E24" s="43"/>
      <c r="F24" s="35"/>
      <c r="G24" s="43"/>
      <c r="H24" s="35"/>
      <c r="I24" s="35"/>
      <c r="J24" s="35"/>
      <c r="K24" s="43"/>
      <c r="L24" s="35"/>
      <c r="M24" s="43"/>
      <c r="N24" s="35"/>
      <c r="O24" s="43"/>
      <c r="P24" s="35"/>
      <c r="Q24" s="43"/>
      <c r="R24" s="35"/>
      <c r="S24" s="43"/>
    </row>
    <row r="25" spans="5:19" s="28" customFormat="1" ht="12.75">
      <c r="E25" s="43"/>
      <c r="F25" s="35"/>
      <c r="G25" s="43"/>
      <c r="H25" s="35"/>
      <c r="I25" s="35"/>
      <c r="J25" s="35"/>
      <c r="K25" s="43"/>
      <c r="L25" s="35"/>
      <c r="M25" s="43"/>
      <c r="N25" s="35"/>
      <c r="O25" s="43"/>
      <c r="P25" s="35"/>
      <c r="Q25" s="43"/>
      <c r="R25" s="35"/>
      <c r="S25" s="43"/>
    </row>
    <row r="26" spans="5:19" s="28" customFormat="1" ht="12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28" customFormat="1" ht="12.75">
      <c r="A27" s="28" t="s">
        <v>110</v>
      </c>
      <c r="E27" s="31">
        <v>42415</v>
      </c>
      <c r="F27" s="31"/>
      <c r="G27" s="31">
        <v>7687</v>
      </c>
      <c r="H27" s="31"/>
      <c r="I27" s="31">
        <v>0</v>
      </c>
      <c r="J27" s="31"/>
      <c r="K27" s="31">
        <v>30</v>
      </c>
      <c r="L27" s="31"/>
      <c r="M27" s="31">
        <v>4948</v>
      </c>
      <c r="N27" s="31"/>
      <c r="O27" s="31">
        <f>SUM(E27:M27)</f>
        <v>55080</v>
      </c>
      <c r="P27" s="31"/>
      <c r="Q27" s="31">
        <v>4004</v>
      </c>
      <c r="R27" s="31"/>
      <c r="S27" s="31">
        <f>+O27+Q27</f>
        <v>59084</v>
      </c>
    </row>
    <row r="28" spans="1:19" s="28" customFormat="1" ht="12.75">
      <c r="A28" s="28" t="s">
        <v>58</v>
      </c>
      <c r="E28" s="31">
        <v>0</v>
      </c>
      <c r="F28" s="31"/>
      <c r="G28" s="31">
        <v>0</v>
      </c>
      <c r="H28" s="31"/>
      <c r="I28" s="31">
        <v>0</v>
      </c>
      <c r="J28" s="31"/>
      <c r="K28" s="31">
        <v>0</v>
      </c>
      <c r="L28" s="31"/>
      <c r="M28" s="31">
        <v>0</v>
      </c>
      <c r="N28" s="31"/>
      <c r="O28" s="33">
        <f>SUM(E28:M28)</f>
        <v>0</v>
      </c>
      <c r="P28" s="31"/>
      <c r="Q28" s="33">
        <f>SUM(G28:O28)</f>
        <v>0</v>
      </c>
      <c r="R28" s="31"/>
      <c r="S28" s="33">
        <f>SUM(K28:Q28)</f>
        <v>0</v>
      </c>
    </row>
    <row r="29" spans="1:19" s="28" customFormat="1" ht="12.75">
      <c r="A29" s="28" t="s">
        <v>60</v>
      </c>
      <c r="E29" s="31">
        <v>0</v>
      </c>
      <c r="F29" s="31"/>
      <c r="G29" s="31">
        <v>0</v>
      </c>
      <c r="H29" s="31"/>
      <c r="I29" s="31">
        <v>0</v>
      </c>
      <c r="J29" s="31"/>
      <c r="K29" s="31">
        <v>0</v>
      </c>
      <c r="L29" s="31"/>
      <c r="M29" s="31">
        <v>0</v>
      </c>
      <c r="N29" s="31"/>
      <c r="O29" s="33">
        <f>SUM(E29:M29)</f>
        <v>0</v>
      </c>
      <c r="P29" s="31"/>
      <c r="Q29" s="33">
        <f>SUM(G29:O29)</f>
        <v>0</v>
      </c>
      <c r="R29" s="31"/>
      <c r="S29" s="33">
        <f>SUM(K29:Q29)</f>
        <v>0</v>
      </c>
    </row>
    <row r="30" spans="1:19" s="28" customFormat="1" ht="12.75">
      <c r="A30" s="28" t="s">
        <v>72</v>
      </c>
      <c r="E30" s="31">
        <v>4383</v>
      </c>
      <c r="F30" s="31"/>
      <c r="G30" s="31">
        <v>1701</v>
      </c>
      <c r="H30" s="31"/>
      <c r="I30" s="31">
        <v>0</v>
      </c>
      <c r="J30" s="31"/>
      <c r="K30" s="31">
        <v>0</v>
      </c>
      <c r="L30" s="31"/>
      <c r="M30" s="31">
        <v>0</v>
      </c>
      <c r="N30" s="31"/>
      <c r="O30" s="31">
        <f>SUM(E30:M30)</f>
        <v>6084</v>
      </c>
      <c r="P30" s="31"/>
      <c r="Q30" s="31">
        <v>0</v>
      </c>
      <c r="R30" s="31"/>
      <c r="S30" s="31">
        <f>+O30+Q30</f>
        <v>6084</v>
      </c>
    </row>
    <row r="31" spans="1:19" s="28" customFormat="1" ht="12.75">
      <c r="A31" s="28" t="s">
        <v>59</v>
      </c>
      <c r="E31" s="32">
        <v>0</v>
      </c>
      <c r="F31" s="31"/>
      <c r="G31" s="32">
        <v>0</v>
      </c>
      <c r="H31" s="31"/>
      <c r="I31" s="32">
        <v>0</v>
      </c>
      <c r="J31" s="31"/>
      <c r="K31" s="32">
        <v>0</v>
      </c>
      <c r="L31" s="31"/>
      <c r="M31" s="32">
        <v>-13808</v>
      </c>
      <c r="N31" s="31"/>
      <c r="O31" s="32">
        <f>SUM(E31:M31)</f>
        <v>-13808</v>
      </c>
      <c r="P31" s="31"/>
      <c r="Q31" s="63">
        <f>-1929-146</f>
        <v>-2075</v>
      </c>
      <c r="R31" s="31"/>
      <c r="S31" s="32">
        <f>+O31+Q31</f>
        <v>-15883</v>
      </c>
    </row>
    <row r="32" spans="5:19" s="28" customFormat="1" ht="12.75">
      <c r="E32" s="33"/>
      <c r="F32" s="31"/>
      <c r="G32" s="33"/>
      <c r="H32" s="31"/>
      <c r="I32" s="31"/>
      <c r="J32" s="31"/>
      <c r="K32" s="33"/>
      <c r="L32" s="31"/>
      <c r="M32" s="33"/>
      <c r="N32" s="31"/>
      <c r="O32" s="33"/>
      <c r="P32" s="31"/>
      <c r="Q32" s="33"/>
      <c r="R32" s="31"/>
      <c r="S32" s="33"/>
    </row>
    <row r="33" spans="1:19" s="28" customFormat="1" ht="13.5" thickBot="1">
      <c r="A33" s="28" t="s">
        <v>160</v>
      </c>
      <c r="E33" s="34">
        <f>SUM(E27:E32)</f>
        <v>46798</v>
      </c>
      <c r="F33" s="43">
        <f aca="true" t="shared" si="2" ref="F33:L33">SUM(F27:F32)</f>
        <v>0</v>
      </c>
      <c r="G33" s="34">
        <f t="shared" si="2"/>
        <v>9388</v>
      </c>
      <c r="H33" s="43">
        <f t="shared" si="2"/>
        <v>0</v>
      </c>
      <c r="I33" s="34">
        <f t="shared" si="2"/>
        <v>0</v>
      </c>
      <c r="J33" s="43"/>
      <c r="K33" s="34">
        <f t="shared" si="2"/>
        <v>30</v>
      </c>
      <c r="L33" s="34">
        <f t="shared" si="2"/>
        <v>0</v>
      </c>
      <c r="M33" s="34">
        <f aca="true" t="shared" si="3" ref="M33:S33">SUM(M27:M32)</f>
        <v>-8860</v>
      </c>
      <c r="N33" s="43">
        <f t="shared" si="3"/>
        <v>0</v>
      </c>
      <c r="O33" s="34">
        <f t="shared" si="3"/>
        <v>47356</v>
      </c>
      <c r="P33" s="43">
        <f t="shared" si="3"/>
        <v>0</v>
      </c>
      <c r="Q33" s="34">
        <f t="shared" si="3"/>
        <v>1929</v>
      </c>
      <c r="R33" s="43">
        <f t="shared" si="3"/>
        <v>0</v>
      </c>
      <c r="S33" s="64">
        <f t="shared" si="3"/>
        <v>49285</v>
      </c>
    </row>
    <row r="34" spans="5:19" s="28" customFormat="1" ht="12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5:20" s="28" customFormat="1" ht="12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8">
        <v>49285</v>
      </c>
    </row>
    <row r="36" spans="1:20" ht="12.75">
      <c r="A36" s="40"/>
      <c r="B36" s="40"/>
      <c r="Q36" s="53"/>
      <c r="S36" s="53"/>
      <c r="T36" s="53">
        <f>+S33-T35</f>
        <v>0</v>
      </c>
    </row>
    <row r="37" spans="1:13" s="12" customFormat="1" ht="12.75">
      <c r="A37" s="12" t="s">
        <v>141</v>
      </c>
      <c r="M37" s="42"/>
    </row>
    <row r="38" spans="1:13" s="12" customFormat="1" ht="12.75">
      <c r="A38" s="12" t="s">
        <v>142</v>
      </c>
      <c r="M38" s="42"/>
    </row>
    <row r="39" spans="1:2" ht="12.75">
      <c r="A39" s="40"/>
      <c r="B39" s="40"/>
    </row>
    <row r="40" spans="1:2" ht="12.75">
      <c r="A40" s="40"/>
      <c r="B40" s="40"/>
    </row>
    <row r="41" spans="1:2" ht="12.75">
      <c r="A41" s="40"/>
      <c r="B41" s="40"/>
    </row>
    <row r="42" spans="1:2" ht="12.75">
      <c r="A42" s="40"/>
      <c r="B42" s="40"/>
    </row>
    <row r="43" spans="1:2" ht="12.75">
      <c r="A43" s="40"/>
      <c r="B43" s="40"/>
    </row>
    <row r="44" spans="1:2" ht="12.75">
      <c r="A44" s="40"/>
      <c r="B44" s="40"/>
    </row>
    <row r="45" spans="1:2" ht="12.75">
      <c r="A45" s="40"/>
      <c r="B45" s="40"/>
    </row>
  </sheetData>
  <mergeCells count="2">
    <mergeCell ref="E7:O7"/>
    <mergeCell ref="G8:K8"/>
  </mergeCells>
  <printOptions/>
  <pageMargins left="0.6692913385826772" right="0.5118110236220472" top="0.7874015748031497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38</v>
      </c>
    </row>
    <row r="4" ht="15.75">
      <c r="A4" s="2" t="s">
        <v>27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39</v>
      </c>
      <c r="D8" s="5" t="s">
        <v>39</v>
      </c>
    </row>
    <row r="9" spans="2:4" s="5" customFormat="1" ht="12.75" customHeight="1">
      <c r="B9" s="5" t="s">
        <v>40</v>
      </c>
      <c r="D9" s="5" t="s">
        <v>40</v>
      </c>
    </row>
    <row r="10" spans="2:4" s="5" customFormat="1" ht="12.75" customHeight="1">
      <c r="B10" s="5" t="s">
        <v>28</v>
      </c>
      <c r="D10" s="5" t="s">
        <v>28</v>
      </c>
    </row>
    <row r="12" spans="1:4" ht="12.75" customHeight="1">
      <c r="A12" s="20" t="s">
        <v>41</v>
      </c>
      <c r="B12" s="25">
        <v>0</v>
      </c>
      <c r="C12" s="25"/>
      <c r="D12" s="25">
        <v>0</v>
      </c>
    </row>
    <row r="13" spans="1:4" ht="12.75" customHeight="1">
      <c r="A13" s="20" t="s">
        <v>42</v>
      </c>
      <c r="B13" s="25">
        <v>0</v>
      </c>
      <c r="C13" s="25"/>
      <c r="D13" s="25">
        <v>0</v>
      </c>
    </row>
    <row r="14" spans="2:4" ht="12.75" customHeight="1">
      <c r="B14" s="25"/>
      <c r="C14" s="25"/>
      <c r="D14" s="25"/>
    </row>
    <row r="15" spans="1:4" ht="12.75" customHeight="1">
      <c r="A15" s="20" t="s">
        <v>43</v>
      </c>
      <c r="B15" s="25">
        <v>0</v>
      </c>
      <c r="C15" s="25"/>
      <c r="D15" s="25">
        <v>0</v>
      </c>
    </row>
    <row r="16" spans="2:4" ht="12.75" customHeight="1">
      <c r="B16" s="25"/>
      <c r="C16" s="25"/>
      <c r="D16" s="25"/>
    </row>
    <row r="17" spans="1:4" ht="12.75" customHeight="1">
      <c r="A17" s="20" t="s">
        <v>44</v>
      </c>
      <c r="B17" s="25">
        <v>0</v>
      </c>
      <c r="C17" s="25"/>
      <c r="D17" s="25">
        <v>0</v>
      </c>
    </row>
    <row r="18" spans="2:4" ht="12.75" customHeight="1">
      <c r="B18" s="25"/>
      <c r="C18" s="25"/>
      <c r="D18" s="25"/>
    </row>
    <row r="19" spans="1:4" ht="12.75" customHeight="1">
      <c r="A19" s="20" t="s">
        <v>45</v>
      </c>
      <c r="B19" s="25">
        <v>0</v>
      </c>
      <c r="C19" s="25"/>
      <c r="D19" s="25">
        <v>0</v>
      </c>
    </row>
    <row r="20" spans="2:4" ht="12.75" customHeight="1">
      <c r="B20" s="25"/>
      <c r="C20" s="25"/>
      <c r="D20" s="25"/>
    </row>
    <row r="22" s="15" customFormat="1" ht="12.75">
      <c r="A22" s="15" t="s">
        <v>49</v>
      </c>
    </row>
    <row r="23" s="15" customFormat="1" ht="12.75">
      <c r="A23" s="15" t="s">
        <v>48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USer</cp:lastModifiedBy>
  <cp:lastPrinted>2007-02-27T08:50:14Z</cp:lastPrinted>
  <dcterms:created xsi:type="dcterms:W3CDTF">2002-05-19T06:20:37Z</dcterms:created>
  <dcterms:modified xsi:type="dcterms:W3CDTF">2007-02-27T08:53:49Z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-1091861654</vt:i4>
  </property>
  <property fmtid="{D5CDD505-2E9C-101B-9397-08002B2CF9AE}" pid="3" name="_EmailSubject">
    <vt:lpwstr>For Choy Kean - 1st Qtr</vt:lpwstr>
  </property>
  <property fmtid="{D5CDD505-2E9C-101B-9397-08002B2CF9AE}" pid="4" name="_AuthorEmail">
    <vt:lpwstr>saiful@magnaprima.com.my</vt:lpwstr>
  </property>
  <property fmtid="{D5CDD505-2E9C-101B-9397-08002B2CF9AE}" pid="5" name="_AuthorEmailDisplayName">
    <vt:lpwstr>saiful</vt:lpwstr>
  </property>
  <property fmtid="{D5CDD505-2E9C-101B-9397-08002B2CF9AE}" pid="6" name="_PreviousAdHocReviewCycleID">
    <vt:i4>383528047</vt:i4>
  </property>
  <property fmtid="{D5CDD505-2E9C-101B-9397-08002B2CF9AE}" pid="7" name="_ReviewingToolsShownOnce">
    <vt:lpwstr/>
  </property>
</Properties>
</file>